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5" yWindow="-105" windowWidth="19425" windowHeight="10425"/>
  </bookViews>
  <sheets>
    <sheet name="Total " sheetId="11" r:id="rId1"/>
    <sheet name="2025" sheetId="10" r:id="rId2"/>
    <sheet name="2024" sheetId="1" r:id="rId3"/>
    <sheet name="2023" sheetId="2" r:id="rId4"/>
    <sheet name="2022" sheetId="3" r:id="rId5"/>
    <sheet name="2021" sheetId="4" r:id="rId6"/>
    <sheet name="2020" sheetId="5" r:id="rId7"/>
    <sheet name="2019" sheetId="9" r:id="rId8"/>
    <sheet name="2018" sheetId="6" r:id="rId9"/>
  </sheets>
  <definedNames>
    <definedName name="_xlnm._FilterDatabase" localSheetId="0" hidden="1">'Total '!$A$1:$A$18</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P13" i="11" l="1"/>
  <c r="Q13" i="11"/>
  <c r="N16" i="10"/>
  <c r="O16" i="10"/>
  <c r="N20" i="10"/>
  <c r="O20" i="10"/>
  <c r="B11" i="10"/>
  <c r="B10" i="10"/>
  <c r="L51" i="10" l="1"/>
  <c r="M51" i="10"/>
  <c r="O50" i="10" l="1"/>
  <c r="N50" i="10"/>
  <c r="O46" i="10"/>
  <c r="N46" i="10"/>
  <c r="O42" i="10"/>
  <c r="N42" i="10"/>
  <c r="O37" i="10"/>
  <c r="N37" i="10"/>
  <c r="O33" i="10"/>
  <c r="N33" i="10"/>
  <c r="O29" i="10"/>
  <c r="N29" i="10"/>
  <c r="O25" i="10"/>
  <c r="N25" i="10"/>
  <c r="O12" i="10"/>
  <c r="N12" i="10"/>
  <c r="O8" i="10"/>
  <c r="N8" i="10"/>
  <c r="O5" i="10"/>
  <c r="N5" i="10"/>
  <c r="O51" i="10" l="1"/>
  <c r="N51" i="10"/>
  <c r="C51" i="10"/>
  <c r="Q7" i="11" l="1"/>
  <c r="F51" i="10"/>
  <c r="P16" i="11" s="1"/>
  <c r="R16" i="11" s="1"/>
  <c r="G51" i="10"/>
  <c r="Q16" i="11" s="1"/>
  <c r="S16" i="11" s="1"/>
  <c r="K51" i="10"/>
  <c r="Q14" i="11" s="1"/>
  <c r="J51" i="10"/>
  <c r="P14" i="11" s="1"/>
  <c r="I51" i="10"/>
  <c r="Q15" i="11" s="1"/>
  <c r="H51" i="10"/>
  <c r="P15" i="11" s="1"/>
  <c r="D51" i="10"/>
  <c r="P8" i="11" s="1"/>
  <c r="B51" i="10"/>
  <c r="B42" i="6"/>
  <c r="J28" i="9"/>
  <c r="J26" i="9"/>
  <c r="J23" i="9"/>
  <c r="J24" i="9"/>
  <c r="J22" i="9"/>
  <c r="J18" i="9"/>
  <c r="J15" i="9"/>
  <c r="J13" i="9"/>
  <c r="J12" i="9"/>
  <c r="J9" i="9"/>
  <c r="J8" i="9"/>
  <c r="J5" i="9"/>
  <c r="F20" i="9"/>
  <c r="B35" i="9"/>
  <c r="B17" i="9"/>
  <c r="L37" i="5"/>
  <c r="H45" i="5"/>
  <c r="D36" i="5"/>
  <c r="L5" i="4"/>
  <c r="P7" i="11" l="1"/>
  <c r="P18" i="11" s="1"/>
  <c r="B53" i="10"/>
  <c r="E51" i="10"/>
  <c r="C53" i="10" s="1"/>
  <c r="C43" i="6"/>
  <c r="B43" i="6"/>
  <c r="K36" i="9"/>
  <c r="E4" i="11" s="1"/>
  <c r="J36" i="9"/>
  <c r="D4" i="11" s="1"/>
  <c r="H36" i="9"/>
  <c r="D8" i="11" s="1"/>
  <c r="G36" i="9"/>
  <c r="E7" i="11" s="1"/>
  <c r="F36" i="9"/>
  <c r="D7" i="11" s="1"/>
  <c r="E36" i="9"/>
  <c r="E6" i="11" s="1"/>
  <c r="D36" i="9"/>
  <c r="D6" i="11" s="1"/>
  <c r="C36" i="9"/>
  <c r="E5" i="11" s="1"/>
  <c r="B36" i="9"/>
  <c r="D5" i="11" s="1"/>
  <c r="I32" i="9"/>
  <c r="I29" i="9"/>
  <c r="O49" i="5"/>
  <c r="G10" i="11" s="1"/>
  <c r="M49" i="5"/>
  <c r="G4" i="11" s="1"/>
  <c r="L49" i="5"/>
  <c r="F4" i="11" s="1"/>
  <c r="J49" i="5"/>
  <c r="F8" i="11" s="1"/>
  <c r="I49" i="5"/>
  <c r="G9" i="11" s="1"/>
  <c r="H49" i="5"/>
  <c r="F9" i="11" s="1"/>
  <c r="G49" i="5"/>
  <c r="F49" i="5"/>
  <c r="E49" i="5"/>
  <c r="G6" i="11" s="1"/>
  <c r="C49" i="5"/>
  <c r="B49" i="5"/>
  <c r="F5" i="11" s="1"/>
  <c r="K48" i="5"/>
  <c r="K47" i="5"/>
  <c r="N41" i="5"/>
  <c r="K38" i="5"/>
  <c r="K35" i="5"/>
  <c r="K32" i="5"/>
  <c r="N30" i="5"/>
  <c r="K28" i="5"/>
  <c r="N24" i="5"/>
  <c r="K23" i="5"/>
  <c r="K19" i="5"/>
  <c r="K16" i="5"/>
  <c r="K15" i="5"/>
  <c r="D13" i="5"/>
  <c r="D49" i="5" s="1"/>
  <c r="F6" i="11" s="1"/>
  <c r="K9" i="5"/>
  <c r="Q55" i="4"/>
  <c r="I17" i="11" s="1"/>
  <c r="P55" i="4"/>
  <c r="H17" i="11" s="1"/>
  <c r="O55" i="4"/>
  <c r="I10" i="11" s="1"/>
  <c r="N55" i="4"/>
  <c r="H10" i="11" s="1"/>
  <c r="M55" i="4"/>
  <c r="I4" i="11" s="1"/>
  <c r="L55" i="4"/>
  <c r="H4" i="11" s="1"/>
  <c r="J55" i="4"/>
  <c r="H8" i="11" s="1"/>
  <c r="I55" i="4"/>
  <c r="I9" i="11" s="1"/>
  <c r="H55" i="4"/>
  <c r="H9" i="11" s="1"/>
  <c r="G55" i="4"/>
  <c r="I7" i="11" s="1"/>
  <c r="F55" i="4"/>
  <c r="H7" i="11" s="1"/>
  <c r="E55" i="4"/>
  <c r="I6" i="11" s="1"/>
  <c r="D55" i="4"/>
  <c r="H6" i="11" s="1"/>
  <c r="C55" i="4"/>
  <c r="I5" i="11" s="1"/>
  <c r="B55" i="4"/>
  <c r="H5" i="11" s="1"/>
  <c r="K52" i="4"/>
  <c r="K50" i="4"/>
  <c r="K48" i="4"/>
  <c r="K37" i="4"/>
  <c r="K33" i="4"/>
  <c r="K27" i="4"/>
  <c r="K26" i="4"/>
  <c r="K20" i="4"/>
  <c r="K18" i="4"/>
  <c r="K16" i="4"/>
  <c r="K13" i="4"/>
  <c r="K9" i="4"/>
  <c r="Q59" i="3"/>
  <c r="K17" i="11" s="1"/>
  <c r="P59" i="3"/>
  <c r="J17" i="11" s="1"/>
  <c r="O59" i="3"/>
  <c r="K11" i="11" s="1"/>
  <c r="S11" i="11" s="1"/>
  <c r="N59" i="3"/>
  <c r="J11" i="11" s="1"/>
  <c r="R11" i="11" s="1"/>
  <c r="M59" i="3"/>
  <c r="K12" i="11" s="1"/>
  <c r="L59" i="3"/>
  <c r="J12" i="11" s="1"/>
  <c r="J59" i="3"/>
  <c r="J8" i="11" s="1"/>
  <c r="I59" i="3"/>
  <c r="K9" i="11" s="1"/>
  <c r="H59" i="3"/>
  <c r="J9" i="11" s="1"/>
  <c r="G59" i="3"/>
  <c r="K7" i="11" s="1"/>
  <c r="F59" i="3"/>
  <c r="J7" i="11" s="1"/>
  <c r="E59" i="3"/>
  <c r="K6" i="11" s="1"/>
  <c r="D59" i="3"/>
  <c r="J6" i="11" s="1"/>
  <c r="C59" i="3"/>
  <c r="K5" i="11" s="1"/>
  <c r="B59" i="3"/>
  <c r="K57" i="3"/>
  <c r="K55" i="3"/>
  <c r="K52" i="3"/>
  <c r="K47" i="3"/>
  <c r="K37" i="3"/>
  <c r="K27" i="3"/>
  <c r="K24" i="3"/>
  <c r="K8" i="3"/>
  <c r="K6" i="3"/>
  <c r="S55" i="2"/>
  <c r="M14" i="11" s="1"/>
  <c r="R55" i="2"/>
  <c r="L14" i="11" s="1"/>
  <c r="Q55" i="2"/>
  <c r="M15" i="11" s="1"/>
  <c r="P55" i="2"/>
  <c r="L15" i="11" s="1"/>
  <c r="O55" i="2"/>
  <c r="M13" i="11" s="1"/>
  <c r="N55" i="2"/>
  <c r="L13" i="11" s="1"/>
  <c r="M55" i="2"/>
  <c r="M12" i="11" s="1"/>
  <c r="L55" i="2"/>
  <c r="L12" i="11" s="1"/>
  <c r="J55" i="2"/>
  <c r="L8" i="11" s="1"/>
  <c r="I55" i="2"/>
  <c r="M9" i="11" s="1"/>
  <c r="H55" i="2"/>
  <c r="L9" i="11" s="1"/>
  <c r="G55" i="2"/>
  <c r="M7" i="11" s="1"/>
  <c r="F55" i="2"/>
  <c r="L7" i="11" s="1"/>
  <c r="E55" i="2"/>
  <c r="M6" i="11" s="1"/>
  <c r="D55" i="2"/>
  <c r="L6" i="11" s="1"/>
  <c r="C55" i="2"/>
  <c r="M5" i="11" s="1"/>
  <c r="B55" i="2"/>
  <c r="L5" i="11" s="1"/>
  <c r="K48" i="2"/>
  <c r="K35" i="2"/>
  <c r="K31" i="2"/>
  <c r="K26" i="2"/>
  <c r="K25" i="2"/>
  <c r="K18" i="2"/>
  <c r="K16" i="2"/>
  <c r="K14" i="2"/>
  <c r="K41" i="1"/>
  <c r="O14" i="11" s="1"/>
  <c r="S14" i="11" s="1"/>
  <c r="J41" i="1"/>
  <c r="N14" i="11" s="1"/>
  <c r="R14" i="11" s="1"/>
  <c r="I41" i="1"/>
  <c r="O15" i="11" s="1"/>
  <c r="H41" i="1"/>
  <c r="N15" i="11" s="1"/>
  <c r="R15" i="11" s="1"/>
  <c r="G41" i="1"/>
  <c r="O13" i="11" s="1"/>
  <c r="F41" i="1"/>
  <c r="N13" i="11" s="1"/>
  <c r="R13" i="11" s="1"/>
  <c r="D41" i="1"/>
  <c r="N8" i="11" s="1"/>
  <c r="C41" i="1"/>
  <c r="O7" i="11" s="1"/>
  <c r="B41" i="1"/>
  <c r="N7" i="11" s="1"/>
  <c r="E35" i="1"/>
  <c r="E32" i="1"/>
  <c r="E19" i="1"/>
  <c r="E15" i="1"/>
  <c r="S15" i="11" l="1"/>
  <c r="I36" i="9"/>
  <c r="S10" i="11"/>
  <c r="S12" i="11"/>
  <c r="S13" i="11"/>
  <c r="R9" i="11"/>
  <c r="S5" i="11"/>
  <c r="S7" i="11"/>
  <c r="B61" i="3"/>
  <c r="J5" i="11"/>
  <c r="J18" i="11" s="1"/>
  <c r="R6" i="11"/>
  <c r="R8" i="11"/>
  <c r="N18" i="11"/>
  <c r="S9" i="11"/>
  <c r="R12" i="11"/>
  <c r="R17" i="11"/>
  <c r="S6" i="11"/>
  <c r="L18" i="11"/>
  <c r="S17" i="11"/>
  <c r="R7" i="11"/>
  <c r="Q8" i="11"/>
  <c r="Q18" i="11" s="1"/>
  <c r="H18" i="11"/>
  <c r="C38" i="9"/>
  <c r="E8" i="11"/>
  <c r="C45" i="6"/>
  <c r="C4" i="11"/>
  <c r="C18" i="11" s="1"/>
  <c r="D18" i="11"/>
  <c r="B45" i="6"/>
  <c r="B4" i="11"/>
  <c r="B18" i="11" s="1"/>
  <c r="B57" i="2"/>
  <c r="B43" i="1"/>
  <c r="K55" i="2"/>
  <c r="K55" i="4"/>
  <c r="K59" i="3"/>
  <c r="N49" i="5"/>
  <c r="F10" i="11" s="1"/>
  <c r="R10" i="11" s="1"/>
  <c r="E41" i="1"/>
  <c r="K49" i="5"/>
  <c r="B38" i="9"/>
  <c r="B51" i="5"/>
  <c r="B57" i="4"/>
  <c r="F18" i="11" l="1"/>
  <c r="C51" i="5"/>
  <c r="G8" i="11"/>
  <c r="G18" i="11" s="1"/>
  <c r="C57" i="4"/>
  <c r="I8" i="11"/>
  <c r="I18" i="11" s="1"/>
  <c r="C43" i="1"/>
  <c r="O8" i="11"/>
  <c r="O18" i="11" s="1"/>
  <c r="C57" i="2"/>
  <c r="M8" i="11"/>
  <c r="M18" i="11" s="1"/>
  <c r="R5" i="11"/>
  <c r="C61" i="3"/>
  <c r="K8" i="11"/>
  <c r="K18" i="11" s="1"/>
  <c r="S4" i="11"/>
  <c r="R4" i="11"/>
  <c r="E18" i="11"/>
  <c r="S8" i="11" l="1"/>
  <c r="S18" i="11" s="1"/>
  <c r="R18" i="11"/>
</calcChain>
</file>

<file path=xl/sharedStrings.xml><?xml version="1.0" encoding="utf-8"?>
<sst xmlns="http://schemas.openxmlformats.org/spreadsheetml/2006/main" count="428" uniqueCount="96">
  <si>
    <t>FONDS REÇUS DE L'ETRANGER 2024</t>
  </si>
  <si>
    <t xml:space="preserve">SSI </t>
  </si>
  <si>
    <t>ProGreS Migration Tounesna</t>
  </si>
  <si>
    <t>PRISMI</t>
  </si>
  <si>
    <t xml:space="preserve">SûrMaRoute </t>
  </si>
  <si>
    <t>JRS</t>
  </si>
  <si>
    <t>Euro</t>
  </si>
  <si>
    <t>TND</t>
  </si>
  <si>
    <t>TOTAL</t>
  </si>
  <si>
    <t>TOTAL GLOBAL</t>
  </si>
  <si>
    <t>Nom projet</t>
  </si>
  <si>
    <t xml:space="preserve">Objet </t>
  </si>
  <si>
    <t xml:space="preserve">Bailleur </t>
  </si>
  <si>
    <t xml:space="preserve">Origine des fonds </t>
  </si>
  <si>
    <t>SSI (Réintégration dans les pays d'origine)</t>
  </si>
  <si>
    <t>Ce projet de réintégration vise à soutenir les migrants vulnérables de retour dans leur pays d'origine depuis la Suisse, en leur offrant un accompagnement pour la mise en place d’un projet professionnel ou de formation.</t>
  </si>
  <si>
    <t xml:space="preserve">Gouvernement de la Suisse </t>
  </si>
  <si>
    <t>Étranger</t>
  </si>
  <si>
    <t>ProGreS Migration II (Tounesna)</t>
  </si>
  <si>
    <t>Ce dispositif propose un accompagnement personnalisé aux migrants de retour, en collaboration avec l’ANETI (Agence Nationale pour l’Emploi et le Travail Indépendant) et la CGPS (Commission Générale de la Promotion Sociale). Il vise à faciliter leur accès aux droits sociaux et économiques, à favoriser leur réinsertion professionnelle par des formations et aides à l’emploi ou à l’entrepreneuriat, et à assurer un suivi social pour les aider à surmonter les défis liés au logement, à la santé et à l’éducation.</t>
  </si>
  <si>
    <t>Mis en œuvre par Expertise France et l'Office Français de l'Immigration et de l'Intégration (OFII) à travers le Centre International pour le Développement des Politiques Migratoires (ICMPD)
Fonds fiduciaire d’urgence de l’Union européenne (FFU)</t>
  </si>
  <si>
    <t>Tunisie (Étranger)</t>
  </si>
  <si>
    <t xml:space="preserve">PRISMI: Parcours de Résilience et d'Innovation Durables pour les Micro-entrepreneurs. </t>
  </si>
  <si>
    <t>L’objectif du projet est de contribuer à une croissance économique soutenue, inclusive et durable, tout en encourageant le travail décent pour les groupes sociaux vulnérables en Tunisie.</t>
  </si>
  <si>
    <t xml:space="preserve">Fondazione San Zeno (Italie) </t>
  </si>
  <si>
    <t>SûrMaRoute</t>
  </si>
  <si>
    <t>L’objectif global de la campagne SûrMaRoute est de lutter contre la migration irrégulière en offrant aux hommes et aux femmes aspirant à émigrer des informations fiables et des opportunités égales, afin qu’ils puissent prendre des décisions éclairées sur des alternatives personnelles.</t>
  </si>
  <si>
    <t>Union européenne - Fonds asile, migration et intégration (AMIF)</t>
  </si>
  <si>
    <t>Joint Reintegration Service (JRS)</t>
  </si>
  <si>
    <t>L’objectif du projet est de garantir un retour durable et une réintégration efficace des personnes retournant dans leur pays d’origine depuis les États membres de l’Union européenne, en leur offrant des conseils personnalisés et une assistance sur mesure pour reconstruire leur vie.</t>
  </si>
  <si>
    <t xml:space="preserve">Union européenne </t>
  </si>
  <si>
    <t>FONDS REÇUS DE L'ETRANGER 2023</t>
  </si>
  <si>
    <t>ERMES 3</t>
  </si>
  <si>
    <t>CIR</t>
  </si>
  <si>
    <t>INDIMEJ</t>
  </si>
  <si>
    <t>Back to Bled</t>
  </si>
  <si>
    <t>Bailleur</t>
  </si>
  <si>
    <t>Origine des fonds</t>
  </si>
  <si>
    <t xml:space="preserve">ERMES 3 
</t>
  </si>
  <si>
    <t>ERMES 3 est un projet de retour volontaire assisté et de réintégration qui offre un soutien financier et un plan de réintégration aux citoyens de pays tiers résidant en Italie. Il s'adresse aux migrants titulaires d'un droit de résidence, de protection internationale, ou en situation irrégulière, originaires de pays tels que le Maroc, la Tunisie, le Sénégal, le Burkina Faso, la RDC, le Mali, le Niger, l'Éthiopie, le Kenya, la Somalie, la Mauritanie, le Ghana, le Pakistan, le Bangladesh, la Côte d’Ivoire, la Syrie, la Jordanie, le Cameroun, le Congo et le Liban.</t>
  </si>
  <si>
    <t xml:space="preserve">Union européenne - Fonds asile, migration et intégration (AMIF) </t>
  </si>
  <si>
    <t>Integration de retour 4 (CiR)</t>
  </si>
  <si>
    <t>Le projet « Intégration de retour 4 » (2019-2023), financé par le Ministère de l’Intérieur de l’Italie dans le cadre du programme AMIF, est mis en œuvre par le CIR (Conseil Italien pour les Réfugiés). Il vise à favoriser la réintégration effective dans les pays d'origine grâce à des parcours d'accompagnement et une assistance individualisée pour les ressortissants de pays tiers résidant en Italie.</t>
  </si>
  <si>
    <t>INDIMEJ: Action pour l'inclusion économique et sociale des jeunes et des femmes en Tunisie</t>
  </si>
  <si>
    <t>Le projet INDIMEJ, financé par le Ministère de l’Intérieur de l’Italie, vise à promouvoir l’acquisition de compétences et la création de nouvelles opportunités d’emploi et d’entrepreneuriat pour les jeunes, les femmes et les migrants rencontrant des difficultés d’accès au marché du travail dans les gouvernorats du Grand Tunis, de Bizerte et de Nabeul.</t>
  </si>
  <si>
    <t>Ministère de l'Intérieur de l'Italie</t>
  </si>
  <si>
    <t>Back to Bled (BtoB), projet n°20.2045.1 financé par la Deutsche Gesellschaft für Internationale Zusammenarbeit (GIZ), vise l’insertion socioéconomique des migrants de retour et de leur famille à travers l’identification et la mise en place de projets d’entrepreneuriat adaptés à leur profil, ainsi qu’un accompagnement psychosocial personnalisé.</t>
  </si>
  <si>
    <t>GIZ - L'acronyme GIZ signifie "Deutsche Gesellschaft für Internationale Zusammenarbeit."(Société allemande de coopération internationale).</t>
  </si>
  <si>
    <t>FONDS REÇUS DE L'ETRANGER 2022</t>
  </si>
  <si>
    <t>I-MIGR 2</t>
  </si>
  <si>
    <t>AMEM</t>
  </si>
  <si>
    <t xml:space="preserve">Perdiem voyage jordanie </t>
  </si>
  <si>
    <t>I-MIGR 2: Inclusion Migration Intégration et Gouvernance à Raoued, La Marsa et Ariana</t>
  </si>
  <si>
    <t>Le projet « I MIGR II - Inclusion, Migration, Intégration et Gouvernance à Raoued, La Marsa et Ariana », cofinancé par l’Union européenne via le Centre international pour le développement des politiques migratoires (ICMPD), vise à promouvoir une gouvernance urbaine des migrations fondée sur les droits. Ses objectifs incluent l’amélioration de la coopération entre les parties prenantes aux niveaux local et national, la promotion d’un discours juste et équilibré sur la migration, le renforcement du dialogue interculturel et la gestion améliorée des données.</t>
  </si>
  <si>
    <t>Union européenne à travers le Centre International pour le Développement des Politiques Migratoires (ICMPD)</t>
  </si>
  <si>
    <t>FONDS REÇUS DE L'ETRANGER 2021</t>
  </si>
  <si>
    <t>Pinsec</t>
  </si>
  <si>
    <t>I-MIGR 1</t>
  </si>
  <si>
    <t>AMEN - BIT</t>
  </si>
  <si>
    <t>frais de gestion SSI</t>
  </si>
  <si>
    <t xml:space="preserve">PINSEC: Jeunes, femmes et migrants : parcours d'intégration sociale et économique en Tunisie
</t>
  </si>
  <si>
    <t>Amélioration des services sociaux et communautaires à travers le renforcement des structures d’accueil et d’orientation professionnelle; promotion de la création d’entreprises dans des secteurs innovants tels que la médiation interculturelle, l’économie verte et la valorisation du patrimoine culturel.</t>
  </si>
  <si>
    <t>AICS (Agence Italienne pour la Coopération au Développement)</t>
  </si>
  <si>
    <t>I-MIGR 1 - Inclusion Migration Intégration et Gouvernance à Raoued et La Marsa</t>
  </si>
  <si>
    <t>Le projet vise à promouvoir une gouvernance des migrations urbaines fondée sur les droits, en améliorant la coopération entre les parties prenantes aux niveaux local et national, en favorisant un discours juste et équilibré sur la migration, en renforçant le dialogue interculturel et l’entente mutuelle, et en améliorant la gestion des données et des connaissances liées à la gouvernance de la migration.</t>
  </si>
  <si>
    <t xml:space="preserve">Campagne "Une autre voie possible", composante du projet "Appui à la Migration Equitable pour le Maghreb" (AMEM) </t>
  </si>
  <si>
    <t>Cette campagne a pour objectifs d’informer les acteurs institutionnels et les partenaires sociaux sur la vulnérabilité des travailleurs tunisiens résidant à l’étranger et les défis auxquels ils font face, tout en mettant en avant l’importance de protéger leurs droits, notamment en matière d’accès aux droits sociaux et de conditions de travail décentes.</t>
  </si>
  <si>
    <t xml:space="preserve">OIT (Organisation Internationale du Travail) </t>
  </si>
  <si>
    <t>FONDS REÇUS DE L'ETRANGER 2020</t>
  </si>
  <si>
    <t>FONDS REÇUS DE L'ETRANGER 2019</t>
  </si>
  <si>
    <t>21/01/20219</t>
  </si>
  <si>
    <t>04/03/20219</t>
  </si>
  <si>
    <t>15/05/20219</t>
  </si>
  <si>
    <t>15/08/20219</t>
  </si>
  <si>
    <t>FONDS REÇUS DE L'ETRANGER 2018</t>
  </si>
  <si>
    <t xml:space="preserve"> </t>
  </si>
  <si>
    <t>FONDS REÇUS DE L'ETRANGER 2025</t>
  </si>
  <si>
    <t>INNOVATECH</t>
  </si>
  <si>
    <t>Le projet vise à promouvoir une croissance économique durable et à lutter contre les causes profondes de la migration irrégulière en Tunisie, en rafforçant l'offerte formative du secteur du photovoltäique et en offrant une formation technique et professionnelle dans le même secteur et dans le secteur des TIC, en soutenant l'entrepreneuriat des jeunes et des femmes, en renforçant l'insertion professionnelle, l'incubation et l'accélération de start-ups et de micro-entreprises, et en sensibilisant aux risques migratoires.  L'approche participative implique les institutions, les communautés locales et les partenaires italiens pour maximiser l'impact des actions.</t>
  </si>
  <si>
    <t>SûrMaRoute Code: 101101893-AMIF-2022 TF1-AG-INFO:</t>
  </si>
  <si>
    <t>INNOVATECH: Formazione, innovazione, lavoro e imprenditoria
sostenibile come alternativa alla migrazione irregolare in Tunisia, CUP F41D24000140008</t>
  </si>
  <si>
    <t>Ermes</t>
  </si>
  <si>
    <t xml:space="preserve">Cir </t>
  </si>
  <si>
    <t>SSI</t>
  </si>
  <si>
    <t>Indimej</t>
  </si>
  <si>
    <t xml:space="preserve">Progres Migration </t>
  </si>
  <si>
    <t>I-migr I</t>
  </si>
  <si>
    <t>I-migr II</t>
  </si>
  <si>
    <t xml:space="preserve">Prismi </t>
  </si>
  <si>
    <t xml:space="preserve">Innovatech </t>
  </si>
  <si>
    <t xml:space="preserve">Total </t>
  </si>
  <si>
    <t>BackToBled</t>
  </si>
  <si>
    <t>JRS - EURP</t>
  </si>
  <si>
    <t>SurMaRoute</t>
  </si>
  <si>
    <t xml:space="preserve">GLOBAL FONDS REÇUS DE L'ÉTRANGER </t>
  </si>
  <si>
    <t>TOTAL/MOIS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</si>
</sst>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 #,##0.00_-;_-* &quot;-&quot;??_-;_-@_-"/>
    <numFmt numFmtId="165" formatCode="0.000"/>
  </numFmts>
  <fonts count="11">
    <font>
      <sz val="11"/>
      <color theme="1"/>
      <name val="Aptos Narrow"/>
      <charset val="134"/>
      <scheme val="minor"/>
    </font>
    <font>
      <sz val="11"/>
      <color theme="1"/>
      <name val="Aptos Narrow"/>
      <family val="2"/>
      <scheme val="minor"/>
    </font>
    <font>
      <b/>
      <sz val="24"/>
      <color theme="1"/>
      <name val="Aptos Narrow"/>
      <scheme val="minor"/>
    </font>
    <font>
      <b/>
      <sz val="13"/>
      <color theme="1"/>
      <name val="Aptos Narrow"/>
      <scheme val="minor"/>
    </font>
    <font>
      <b/>
      <sz val="11"/>
      <color theme="1"/>
      <name val="Aptos Narrow"/>
      <scheme val="minor"/>
    </font>
    <font>
      <b/>
      <sz val="11"/>
      <color theme="1"/>
      <name val="Aptos Narrow"/>
      <scheme val="minor"/>
    </font>
    <font>
      <b/>
      <sz val="11"/>
      <color theme="1"/>
      <name val="Aptos Narrow"/>
      <scheme val="minor"/>
    </font>
    <font>
      <sz val="11"/>
      <color rgb="FF000000"/>
      <name val="Aptos Narrow"/>
      <scheme val="minor"/>
    </font>
    <font>
      <sz val="11"/>
      <color theme="1"/>
      <name val="Aptos Narrow"/>
      <scheme val="minor"/>
    </font>
    <font>
      <b/>
      <sz val="11"/>
      <color theme="1"/>
      <name val="Aptos Narrow"/>
      <family val="2"/>
      <scheme val="minor"/>
    </font>
    <font>
      <b/>
      <sz val="24"/>
      <color theme="1"/>
      <name val="Aptos Narrow"/>
      <family val="2"/>
      <scheme val="minor"/>
    </font>
  </fonts>
  <fills count="2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2" tint="-0.249977111117893"/>
        <bgColor indexed="64"/>
      </patternFill>
    </fill>
    <fill>
      <patternFill patternType="solid">
        <fgColor theme="6" tint="0.79995117038483843"/>
        <bgColor indexed="64"/>
      </patternFill>
    </fill>
    <fill>
      <patternFill patternType="solid">
        <fgColor theme="9" tint="0.39994506668294322"/>
        <bgColor indexed="64"/>
      </patternFill>
    </fill>
    <fill>
      <patternFill patternType="solid">
        <fgColor theme="2" tint="-9.9978637043366805E-2"/>
        <bgColor indexed="64"/>
      </patternFill>
    </fill>
    <fill>
      <patternFill patternType="solid">
        <fgColor theme="3" tint="0.89996032593768116"/>
        <bgColor indexed="64"/>
      </patternFill>
    </fill>
    <fill>
      <patternFill patternType="solid">
        <fgColor theme="3" tint="0.749992370372631"/>
        <bgColor indexed="64"/>
      </patternFill>
    </fill>
    <fill>
      <patternFill patternType="solid">
        <fgColor rgb="FFEF3F29"/>
        <bgColor indexed="64"/>
      </patternFill>
    </fill>
    <fill>
      <patternFill patternType="solid">
        <fgColor theme="5" tint="0.39994506668294322"/>
        <bgColor indexed="64"/>
      </patternFill>
    </fill>
    <fill>
      <patternFill patternType="solid">
        <fgColor theme="6" tint="0.59999389629810485"/>
        <bgColor indexed="64"/>
      </patternFill>
    </fill>
    <fill>
      <patternFill patternType="solid">
        <fgColor rgb="FFFFC000"/>
        <bgColor indexed="64"/>
      </patternFill>
    </fill>
    <fill>
      <patternFill patternType="solid">
        <fgColor theme="4" tint="0.79995117038483843"/>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4" tint="0.39994506668294322"/>
        <bgColor indexed="64"/>
      </patternFill>
    </fill>
    <fill>
      <patternFill patternType="solid">
        <fgColor theme="0" tint="-0.14996795556505021"/>
        <bgColor indexed="64"/>
      </patternFill>
    </fill>
    <fill>
      <patternFill patternType="solid">
        <fgColor rgb="FF92D050"/>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8FBBB"/>
        <bgColor indexed="64"/>
      </patternFill>
    </fill>
    <fill>
      <patternFill patternType="solid">
        <fgColor rgb="FF99CCFF"/>
        <bgColor indexed="64"/>
      </patternFill>
    </fill>
  </fills>
  <borders count="28">
    <border>
      <left/>
      <right/>
      <top/>
      <bottom/>
      <diagonal/>
    </border>
    <border>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top style="thin">
        <color auto="1"/>
      </top>
      <bottom style="thin">
        <color auto="1"/>
      </bottom>
      <diagonal/>
    </border>
    <border>
      <left/>
      <right style="thick">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ck">
        <color auto="1"/>
      </left>
      <right/>
      <top style="thin">
        <color auto="1"/>
      </top>
      <bottom/>
      <diagonal/>
    </border>
    <border>
      <left style="thick">
        <color auto="1"/>
      </left>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ck">
        <color auto="1"/>
      </left>
      <right/>
      <top style="thin">
        <color auto="1"/>
      </top>
      <bottom style="thin">
        <color auto="1"/>
      </bottom>
      <diagonal/>
    </border>
    <border>
      <left style="thin">
        <color auto="1"/>
      </left>
      <right style="thin">
        <color auto="1"/>
      </right>
      <top style="thin">
        <color auto="1"/>
      </top>
      <bottom style="thin">
        <color theme="2" tint="-0.24994659260841701"/>
      </bottom>
      <diagonal/>
    </border>
    <border>
      <left style="thin">
        <color auto="1"/>
      </left>
      <right style="thin">
        <color auto="1"/>
      </right>
      <top style="thin">
        <color theme="2" tint="-0.24994659260841701"/>
      </top>
      <bottom style="thin">
        <color theme="2" tint="-0.24994659260841701"/>
      </bottom>
      <diagonal/>
    </border>
    <border>
      <left style="thin">
        <color auto="1"/>
      </left>
      <right style="thin">
        <color auto="1"/>
      </right>
      <top style="thin">
        <color theme="2" tint="-0.24994659260841701"/>
      </top>
      <bottom style="thin">
        <color auto="1"/>
      </bottom>
      <diagonal/>
    </border>
    <border>
      <left style="thin">
        <color auto="1"/>
      </left>
      <right style="thin">
        <color auto="1"/>
      </right>
      <top/>
      <bottom style="thin">
        <color auto="1"/>
      </bottom>
      <diagonal/>
    </border>
    <border>
      <left style="thin">
        <color auto="1"/>
      </left>
      <right/>
      <top style="medium">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right/>
      <top style="medium">
        <color auto="1"/>
      </top>
      <bottom/>
      <diagonal/>
    </border>
  </borders>
  <cellStyleXfs count="2">
    <xf numFmtId="0" fontId="0" fillId="0" borderId="0"/>
    <xf numFmtId="164" fontId="8" fillId="0" borderId="0" applyFont="0" applyFill="0" applyBorder="0" applyAlignment="0" applyProtection="0"/>
  </cellStyleXfs>
  <cellXfs count="250">
    <xf numFmtId="0" fontId="0" fillId="0" borderId="0" xfId="0"/>
    <xf numFmtId="0" fontId="0" fillId="2" borderId="0" xfId="0" applyFill="1"/>
    <xf numFmtId="0" fontId="2" fillId="0" borderId="0" xfId="0" applyFont="1" applyAlignment="1">
      <alignment horizontal="left" vertical="center"/>
    </xf>
    <xf numFmtId="0" fontId="0" fillId="0" borderId="1" xfId="0" applyBorder="1"/>
    <xf numFmtId="17" fontId="0" fillId="0" borderId="4" xfId="0" applyNumberFormat="1" applyBorder="1"/>
    <xf numFmtId="0" fontId="0" fillId="0" borderId="2" xfId="0" applyBorder="1" applyAlignment="1">
      <alignment horizontal="center"/>
    </xf>
    <xf numFmtId="0" fontId="0" fillId="0" borderId="3" xfId="0" applyBorder="1" applyAlignment="1">
      <alignment horizontal="center"/>
    </xf>
    <xf numFmtId="17" fontId="4" fillId="4" borderId="4" xfId="0" applyNumberFormat="1" applyFont="1" applyFill="1" applyBorder="1"/>
    <xf numFmtId="0" fontId="0" fillId="4" borderId="2" xfId="0" applyFill="1" applyBorder="1"/>
    <xf numFmtId="0" fontId="0" fillId="4" borderId="3" xfId="0" applyFill="1" applyBorder="1"/>
    <xf numFmtId="17" fontId="4" fillId="0" borderId="4" xfId="0" applyNumberFormat="1" applyFont="1" applyBorder="1"/>
    <xf numFmtId="0" fontId="0" fillId="0" borderId="2" xfId="0" applyBorder="1"/>
    <xf numFmtId="0" fontId="0" fillId="0" borderId="3" xfId="0" applyBorder="1"/>
    <xf numFmtId="14" fontId="0" fillId="0" borderId="4" xfId="0" applyNumberFormat="1" applyBorder="1"/>
    <xf numFmtId="164" fontId="0" fillId="0" borderId="3" xfId="1" applyFont="1" applyFill="1" applyBorder="1"/>
    <xf numFmtId="0" fontId="0" fillId="0" borderId="5" xfId="0" applyBorder="1"/>
    <xf numFmtId="0" fontId="0" fillId="0" borderId="5" xfId="0" applyBorder="1" applyAlignment="1">
      <alignment horizontal="center"/>
    </xf>
    <xf numFmtId="0" fontId="0" fillId="2" borderId="2" xfId="0" applyFill="1" applyBorder="1"/>
    <xf numFmtId="0" fontId="0" fillId="2" borderId="3" xfId="0" applyFill="1" applyBorder="1"/>
    <xf numFmtId="164" fontId="0" fillId="0" borderId="3" xfId="1" applyFont="1" applyBorder="1"/>
    <xf numFmtId="0" fontId="4" fillId="5" borderId="4" xfId="0" applyFont="1" applyFill="1" applyBorder="1"/>
    <xf numFmtId="164" fontId="4" fillId="5" borderId="2" xfId="1" applyFont="1" applyFill="1" applyBorder="1"/>
    <xf numFmtId="164" fontId="4" fillId="5" borderId="3" xfId="1" applyFont="1" applyFill="1" applyBorder="1"/>
    <xf numFmtId="0" fontId="4" fillId="2" borderId="6" xfId="0" applyFont="1" applyFill="1" applyBorder="1"/>
    <xf numFmtId="164" fontId="0" fillId="2" borderId="7" xfId="1" applyFont="1" applyFill="1" applyBorder="1"/>
    <xf numFmtId="0" fontId="4" fillId="6" borderId="6" xfId="0" applyFont="1" applyFill="1" applyBorder="1"/>
    <xf numFmtId="164" fontId="0" fillId="6" borderId="6" xfId="1" applyFont="1" applyFill="1" applyBorder="1"/>
    <xf numFmtId="164" fontId="5" fillId="6" borderId="6" xfId="1" applyFont="1" applyFill="1" applyBorder="1"/>
    <xf numFmtId="0" fontId="6" fillId="4" borderId="6" xfId="0" applyFont="1" applyFill="1" applyBorder="1" applyAlignment="1">
      <alignment horizontal="center"/>
    </xf>
    <xf numFmtId="14" fontId="0" fillId="0" borderId="4" xfId="0" applyNumberFormat="1" applyBorder="1" applyAlignment="1">
      <alignment horizontal="right"/>
    </xf>
    <xf numFmtId="164" fontId="0" fillId="2" borderId="6" xfId="1" applyFont="1" applyFill="1" applyBorder="1"/>
    <xf numFmtId="164" fontId="0" fillId="2" borderId="8" xfId="1" applyFont="1" applyFill="1" applyBorder="1"/>
    <xf numFmtId="164" fontId="4" fillId="6" borderId="6" xfId="1" applyFont="1" applyFill="1" applyBorder="1"/>
    <xf numFmtId="164" fontId="4" fillId="2" borderId="9" xfId="1" applyFont="1" applyFill="1" applyBorder="1"/>
    <xf numFmtId="164" fontId="4" fillId="2" borderId="0" xfId="1" applyFont="1" applyFill="1" applyBorder="1"/>
    <xf numFmtId="164" fontId="0" fillId="2" borderId="0" xfId="1" applyFont="1" applyFill="1" applyBorder="1"/>
    <xf numFmtId="0" fontId="0" fillId="0" borderId="10" xfId="0" applyBorder="1" applyAlignment="1">
      <alignment horizontal="center"/>
    </xf>
    <xf numFmtId="0" fontId="0" fillId="4" borderId="10" xfId="0" applyFill="1" applyBorder="1"/>
    <xf numFmtId="164" fontId="4" fillId="5" borderId="10" xfId="1" applyFont="1" applyFill="1" applyBorder="1"/>
    <xf numFmtId="0" fontId="0" fillId="0" borderId="4" xfId="0" applyBorder="1" applyAlignment="1">
      <alignment horizontal="center"/>
    </xf>
    <xf numFmtId="0" fontId="0" fillId="4" borderId="4" xfId="0" applyFill="1" applyBorder="1"/>
    <xf numFmtId="0" fontId="0" fillId="0" borderId="4" xfId="0" applyBorder="1"/>
    <xf numFmtId="164" fontId="0" fillId="0" borderId="4" xfId="1" applyFont="1" applyFill="1" applyBorder="1"/>
    <xf numFmtId="164" fontId="4" fillId="5" borderId="4" xfId="1" applyFont="1" applyFill="1" applyBorder="1"/>
    <xf numFmtId="0" fontId="6" fillId="4" borderId="6" xfId="0" applyFont="1" applyFill="1" applyBorder="1" applyAlignment="1">
      <alignment horizontal="center" vertical="center"/>
    </xf>
    <xf numFmtId="14" fontId="0" fillId="0" borderId="0" xfId="0" applyNumberFormat="1"/>
    <xf numFmtId="164" fontId="4" fillId="6" borderId="9" xfId="1" applyFont="1" applyFill="1" applyBorder="1"/>
    <xf numFmtId="0" fontId="4" fillId="0" borderId="0" xfId="0" applyFont="1"/>
    <xf numFmtId="164" fontId="4" fillId="0" borderId="0" xfId="1" applyFont="1" applyFill="1" applyBorder="1"/>
    <xf numFmtId="164" fontId="0" fillId="0" borderId="0" xfId="1" applyFont="1" applyFill="1" applyBorder="1"/>
    <xf numFmtId="0" fontId="0" fillId="0" borderId="0" xfId="0" applyAlignment="1">
      <alignment vertical="center" wrapText="1"/>
    </xf>
    <xf numFmtId="14" fontId="0" fillId="13" borderId="0" xfId="0" applyNumberFormat="1" applyFill="1" applyAlignment="1">
      <alignment vertical="center" wrapText="1"/>
    </xf>
    <xf numFmtId="0" fontId="0" fillId="13" borderId="0" xfId="0" applyFill="1" applyAlignment="1">
      <alignment horizontal="center" vertical="center" wrapText="1"/>
    </xf>
    <xf numFmtId="0" fontId="0" fillId="0" borderId="0" xfId="0" applyAlignment="1">
      <alignment horizontal="center" vertical="center" wrapText="1"/>
    </xf>
    <xf numFmtId="164" fontId="0" fillId="0" borderId="8" xfId="1" applyFont="1" applyFill="1" applyBorder="1"/>
    <xf numFmtId="164" fontId="0" fillId="0" borderId="7" xfId="1" applyFont="1" applyFill="1" applyBorder="1"/>
    <xf numFmtId="164" fontId="4" fillId="0" borderId="9" xfId="1" applyFont="1" applyFill="1" applyBorder="1"/>
    <xf numFmtId="164" fontId="0" fillId="0" borderId="3" xfId="1" applyFont="1" applyFill="1" applyBorder="1" applyAlignment="1">
      <alignment horizontal="right"/>
    </xf>
    <xf numFmtId="0" fontId="6" fillId="0" borderId="0" xfId="0" applyFont="1" applyAlignment="1">
      <alignment horizontal="center" vertical="center"/>
    </xf>
    <xf numFmtId="0" fontId="6" fillId="0" borderId="0" xfId="0" applyFont="1" applyAlignment="1">
      <alignment horizontal="center"/>
    </xf>
    <xf numFmtId="0" fontId="7" fillId="0" borderId="0" xfId="0" applyFont="1" applyAlignment="1">
      <alignment horizontal="center" vertical="center" wrapText="1"/>
    </xf>
    <xf numFmtId="164" fontId="0" fillId="4" borderId="3" xfId="1" applyFont="1" applyFill="1" applyBorder="1"/>
    <xf numFmtId="164" fontId="0" fillId="2" borderId="3" xfId="1" applyFont="1" applyFill="1" applyBorder="1"/>
    <xf numFmtId="164" fontId="0" fillId="0" borderId="10" xfId="1" applyFont="1" applyFill="1" applyBorder="1"/>
    <xf numFmtId="4" fontId="0" fillId="2" borderId="2" xfId="0" applyNumberFormat="1" applyFill="1" applyBorder="1"/>
    <xf numFmtId="164" fontId="0" fillId="0" borderId="4" xfId="1" applyFont="1" applyBorder="1"/>
    <xf numFmtId="4" fontId="0" fillId="2" borderId="10" xfId="0" applyNumberFormat="1" applyFill="1" applyBorder="1"/>
    <xf numFmtId="164" fontId="0" fillId="2" borderId="16" xfId="1" applyFont="1" applyFill="1" applyBorder="1"/>
    <xf numFmtId="164" fontId="0" fillId="2" borderId="9" xfId="1" applyFont="1" applyFill="1" applyBorder="1"/>
    <xf numFmtId="0" fontId="6" fillId="4" borderId="0" xfId="0" applyFont="1" applyFill="1" applyAlignment="1">
      <alignment horizontal="center" vertical="center"/>
    </xf>
    <xf numFmtId="4" fontId="0" fillId="2" borderId="2" xfId="0" applyNumberFormat="1" applyFill="1" applyBorder="1" applyAlignment="1">
      <alignment horizontal="right"/>
    </xf>
    <xf numFmtId="0" fontId="4" fillId="19" borderId="10" xfId="0" applyFont="1" applyFill="1" applyBorder="1" applyAlignment="1">
      <alignment horizontal="center" vertical="center" wrapText="1"/>
    </xf>
    <xf numFmtId="0" fontId="0" fillId="0" borderId="6" xfId="0" applyBorder="1"/>
    <xf numFmtId="0" fontId="0" fillId="0" borderId="6" xfId="0" applyBorder="1" applyAlignment="1">
      <alignment horizontal="center"/>
    </xf>
    <xf numFmtId="0" fontId="0" fillId="0" borderId="20" xfId="0" applyBorder="1"/>
    <xf numFmtId="164" fontId="0" fillId="0" borderId="20" xfId="0" applyNumberFormat="1" applyBorder="1"/>
    <xf numFmtId="0" fontId="0" fillId="0" borderId="21" xfId="0" applyBorder="1"/>
    <xf numFmtId="0" fontId="0" fillId="20" borderId="21" xfId="0" applyFill="1" applyBorder="1"/>
    <xf numFmtId="164" fontId="0" fillId="0" borderId="21" xfId="0" applyNumberFormat="1" applyBorder="1"/>
    <xf numFmtId="164" fontId="0" fillId="20" borderId="21" xfId="0" applyNumberFormat="1" applyFill="1" applyBorder="1"/>
    <xf numFmtId="0" fontId="0" fillId="0" borderId="22" xfId="0" applyBorder="1"/>
    <xf numFmtId="0" fontId="9" fillId="0" borderId="6" xfId="0" applyFont="1" applyBorder="1" applyAlignment="1">
      <alignment horizontal="center"/>
    </xf>
    <xf numFmtId="0" fontId="1" fillId="0" borderId="23" xfId="0" applyFont="1" applyBorder="1"/>
    <xf numFmtId="164" fontId="9" fillId="0" borderId="23" xfId="0" applyNumberFormat="1" applyFont="1" applyBorder="1"/>
    <xf numFmtId="0" fontId="0" fillId="20" borderId="22" xfId="0" applyFill="1" applyBorder="1"/>
    <xf numFmtId="0" fontId="10" fillId="0" borderId="14" xfId="0" applyFont="1" applyBorder="1" applyAlignment="1">
      <alignment horizontal="left" vertical="center"/>
    </xf>
    <xf numFmtId="165" fontId="0" fillId="0" borderId="21" xfId="0" applyNumberFormat="1" applyBorder="1"/>
    <xf numFmtId="164" fontId="0" fillId="2" borderId="2" xfId="1" applyFont="1" applyFill="1" applyBorder="1" applyAlignment="1">
      <alignment horizontal="right"/>
    </xf>
    <xf numFmtId="164" fontId="0" fillId="0" borderId="3" xfId="1" applyFont="1" applyBorder="1" applyAlignment="1">
      <alignment horizontal="center"/>
    </xf>
    <xf numFmtId="164" fontId="0" fillId="2" borderId="10" xfId="1" applyFont="1" applyFill="1" applyBorder="1"/>
    <xf numFmtId="164" fontId="0" fillId="0" borderId="20" xfId="1" applyFont="1" applyBorder="1"/>
    <xf numFmtId="164" fontId="0" fillId="20" borderId="20" xfId="1" applyFont="1" applyFill="1" applyBorder="1"/>
    <xf numFmtId="164" fontId="9" fillId="0" borderId="20" xfId="1" applyFont="1" applyBorder="1"/>
    <xf numFmtId="164" fontId="0" fillId="20" borderId="21" xfId="1" applyFont="1" applyFill="1" applyBorder="1"/>
    <xf numFmtId="164" fontId="0" fillId="0" borderId="21" xfId="1" applyFont="1" applyBorder="1"/>
    <xf numFmtId="164" fontId="9" fillId="0" borderId="21" xfId="1" applyFont="1" applyBorder="1"/>
    <xf numFmtId="164" fontId="0" fillId="2" borderId="21" xfId="1" applyFont="1" applyFill="1" applyBorder="1"/>
    <xf numFmtId="164" fontId="0" fillId="0" borderId="22" xfId="1" applyFont="1" applyBorder="1"/>
    <xf numFmtId="164" fontId="0" fillId="20" borderId="22" xfId="1" applyFont="1" applyFill="1" applyBorder="1"/>
    <xf numFmtId="164" fontId="9" fillId="0" borderId="22" xfId="1" applyFont="1" applyBorder="1"/>
    <xf numFmtId="164" fontId="9" fillId="0" borderId="23" xfId="1" applyFont="1" applyBorder="1"/>
    <xf numFmtId="164" fontId="0" fillId="13" borderId="2" xfId="1" applyFont="1" applyFill="1" applyBorder="1"/>
    <xf numFmtId="164" fontId="0" fillId="4" borderId="2" xfId="1" applyFont="1" applyFill="1" applyBorder="1"/>
    <xf numFmtId="164" fontId="0" fillId="0" borderId="2" xfId="1" applyFont="1" applyBorder="1"/>
    <xf numFmtId="164" fontId="0" fillId="0" borderId="5" xfId="1" applyFont="1" applyBorder="1"/>
    <xf numFmtId="164" fontId="0" fillId="2" borderId="2" xfId="1" applyFont="1" applyFill="1" applyBorder="1"/>
    <xf numFmtId="164" fontId="0" fillId="13" borderId="2" xfId="1" applyFont="1" applyFill="1" applyBorder="1" applyAlignment="1">
      <alignment horizontal="right"/>
    </xf>
    <xf numFmtId="164" fontId="0" fillId="4" borderId="10" xfId="1" applyFont="1" applyFill="1" applyBorder="1"/>
    <xf numFmtId="164" fontId="0" fillId="4" borderId="4" xfId="1" applyFont="1" applyFill="1" applyBorder="1"/>
    <xf numFmtId="164" fontId="0" fillId="0" borderId="10" xfId="1" applyFont="1" applyBorder="1"/>
    <xf numFmtId="164" fontId="0" fillId="0" borderId="2" xfId="1" applyFont="1" applyBorder="1" applyAlignment="1">
      <alignment horizontal="center"/>
    </xf>
    <xf numFmtId="164" fontId="0" fillId="0" borderId="10" xfId="1" applyFont="1" applyBorder="1" applyAlignment="1">
      <alignment horizontal="center"/>
    </xf>
    <xf numFmtId="164" fontId="0" fillId="0" borderId="4" xfId="1" applyFont="1" applyBorder="1" applyAlignment="1">
      <alignment horizontal="center"/>
    </xf>
    <xf numFmtId="164" fontId="0" fillId="0" borderId="2" xfId="1" applyFont="1" applyBorder="1" applyAlignment="1">
      <alignment horizontal="right"/>
    </xf>
    <xf numFmtId="164" fontId="0" fillId="0" borderId="3" xfId="1" applyFont="1" applyBorder="1" applyAlignment="1">
      <alignment horizontal="right"/>
    </xf>
    <xf numFmtId="164" fontId="0" fillId="2" borderId="4" xfId="1" applyFont="1" applyFill="1" applyBorder="1"/>
    <xf numFmtId="164" fontId="0" fillId="2" borderId="11" xfId="1" applyFont="1" applyFill="1" applyBorder="1"/>
    <xf numFmtId="164" fontId="0" fillId="2" borderId="5" xfId="1" applyFont="1" applyFill="1" applyBorder="1"/>
    <xf numFmtId="164" fontId="0" fillId="0" borderId="11" xfId="1" applyFont="1" applyBorder="1"/>
    <xf numFmtId="164" fontId="0" fillId="13" borderId="10" xfId="1" applyFont="1" applyFill="1" applyBorder="1"/>
    <xf numFmtId="164" fontId="0" fillId="13" borderId="2" xfId="1" applyFont="1" applyFill="1" applyBorder="1" applyAlignment="1">
      <alignment horizontal="center"/>
    </xf>
    <xf numFmtId="164" fontId="0" fillId="0" borderId="11" xfId="1" applyFont="1" applyBorder="1" applyAlignment="1">
      <alignment horizontal="center"/>
    </xf>
    <xf numFmtId="164" fontId="0" fillId="0" borderId="5" xfId="1" applyFont="1" applyBorder="1" applyAlignment="1">
      <alignment horizontal="center"/>
    </xf>
    <xf numFmtId="164" fontId="0" fillId="2" borderId="5" xfId="1" applyFont="1" applyFill="1" applyBorder="1" applyAlignment="1">
      <alignment horizontal="right"/>
    </xf>
    <xf numFmtId="164" fontId="0" fillId="0" borderId="5" xfId="1" applyFont="1" applyBorder="1" applyAlignment="1">
      <alignment horizontal="right"/>
    </xf>
    <xf numFmtId="164" fontId="0" fillId="2" borderId="2" xfId="1" applyFont="1" applyFill="1" applyBorder="1" applyAlignment="1">
      <alignment horizontal="center"/>
    </xf>
    <xf numFmtId="4" fontId="0" fillId="2" borderId="3" xfId="0" applyNumberFormat="1" applyFill="1" applyBorder="1" applyAlignment="1">
      <alignment horizontal="right"/>
    </xf>
    <xf numFmtId="43" fontId="0" fillId="0" borderId="0" xfId="0" applyNumberFormat="1"/>
    <xf numFmtId="164" fontId="0" fillId="2" borderId="24" xfId="1" applyFont="1" applyFill="1" applyBorder="1"/>
    <xf numFmtId="164" fontId="0" fillId="2" borderId="27" xfId="1" applyFont="1" applyFill="1" applyBorder="1"/>
    <xf numFmtId="0" fontId="0" fillId="2" borderId="27" xfId="0" applyFill="1" applyBorder="1"/>
    <xf numFmtId="4" fontId="0" fillId="0" borderId="2" xfId="0" applyNumberFormat="1" applyBorder="1" applyAlignment="1">
      <alignment horizontal="center"/>
    </xf>
    <xf numFmtId="4" fontId="0" fillId="0" borderId="3" xfId="0" applyNumberFormat="1" applyBorder="1" applyAlignment="1">
      <alignment horizontal="center"/>
    </xf>
    <xf numFmtId="4" fontId="0" fillId="0" borderId="10" xfId="0" applyNumberFormat="1" applyBorder="1" applyAlignment="1">
      <alignment horizontal="center"/>
    </xf>
    <xf numFmtId="4" fontId="0" fillId="0" borderId="4" xfId="0" applyNumberFormat="1" applyBorder="1" applyAlignment="1">
      <alignment horizontal="center"/>
    </xf>
    <xf numFmtId="4" fontId="0" fillId="0" borderId="3" xfId="1" applyNumberFormat="1" applyFont="1" applyFill="1" applyBorder="1"/>
    <xf numFmtId="4" fontId="0" fillId="0" borderId="2" xfId="1" applyNumberFormat="1" applyFont="1" applyFill="1" applyBorder="1"/>
    <xf numFmtId="4" fontId="0" fillId="4" borderId="2" xfId="0" applyNumberFormat="1" applyFill="1" applyBorder="1"/>
    <xf numFmtId="4" fontId="0" fillId="4" borderId="3" xfId="0" applyNumberFormat="1" applyFill="1" applyBorder="1"/>
    <xf numFmtId="4" fontId="0" fillId="4" borderId="10" xfId="0" applyNumberFormat="1" applyFill="1" applyBorder="1"/>
    <xf numFmtId="4" fontId="0" fillId="4" borderId="4" xfId="0" applyNumberFormat="1" applyFill="1" applyBorder="1"/>
    <xf numFmtId="4" fontId="0" fillId="4" borderId="3" xfId="1" applyNumberFormat="1" applyFont="1" applyFill="1" applyBorder="1"/>
    <xf numFmtId="4" fontId="0" fillId="4" borderId="2" xfId="1" applyNumberFormat="1" applyFont="1" applyFill="1" applyBorder="1"/>
    <xf numFmtId="4" fontId="0" fillId="0" borderId="2" xfId="0" applyNumberFormat="1" applyBorder="1"/>
    <xf numFmtId="4" fontId="0" fillId="0" borderId="3" xfId="0" applyNumberFormat="1" applyBorder="1"/>
    <xf numFmtId="4" fontId="0" fillId="0" borderId="10" xfId="0" applyNumberFormat="1" applyBorder="1"/>
    <xf numFmtId="4" fontId="0" fillId="0" borderId="4" xfId="1" applyNumberFormat="1" applyFont="1" applyFill="1" applyBorder="1"/>
    <xf numFmtId="4" fontId="0" fillId="0" borderId="4" xfId="0" applyNumberFormat="1" applyBorder="1"/>
    <xf numFmtId="4" fontId="0" fillId="0" borderId="3" xfId="1" applyNumberFormat="1" applyFont="1" applyBorder="1"/>
    <xf numFmtId="4" fontId="0" fillId="0" borderId="4" xfId="1" applyNumberFormat="1" applyFont="1" applyBorder="1"/>
    <xf numFmtId="4" fontId="0" fillId="0" borderId="2" xfId="1" applyNumberFormat="1" applyFont="1" applyBorder="1" applyAlignment="1">
      <alignment horizontal="left"/>
    </xf>
    <xf numFmtId="4" fontId="0" fillId="2" borderId="2" xfId="1" applyNumberFormat="1" applyFont="1" applyFill="1" applyBorder="1" applyAlignment="1">
      <alignment horizontal="right"/>
    </xf>
    <xf numFmtId="4" fontId="0" fillId="2" borderId="10" xfId="1" applyNumberFormat="1" applyFont="1" applyFill="1" applyBorder="1"/>
    <xf numFmtId="4" fontId="0" fillId="0" borderId="11" xfId="0" applyNumberFormat="1" applyBorder="1" applyAlignment="1">
      <alignment horizontal="center"/>
    </xf>
    <xf numFmtId="4" fontId="0" fillId="2" borderId="2" xfId="0" applyNumberFormat="1" applyFill="1" applyBorder="1" applyAlignment="1">
      <alignment horizontal="center"/>
    </xf>
    <xf numFmtId="4" fontId="0" fillId="2" borderId="3" xfId="0" applyNumberFormat="1" applyFill="1" applyBorder="1" applyAlignment="1">
      <alignment horizontal="center"/>
    </xf>
    <xf numFmtId="4" fontId="0" fillId="0" borderId="2" xfId="1" applyNumberFormat="1" applyFont="1" applyBorder="1"/>
    <xf numFmtId="4" fontId="0" fillId="2" borderId="3" xfId="0" applyNumberFormat="1" applyFill="1" applyBorder="1"/>
    <xf numFmtId="4" fontId="0" fillId="2" borderId="4" xfId="0" applyNumberFormat="1" applyFill="1" applyBorder="1"/>
    <xf numFmtId="4" fontId="0" fillId="2" borderId="3" xfId="1" applyNumberFormat="1" applyFont="1" applyFill="1" applyBorder="1"/>
    <xf numFmtId="4" fontId="0" fillId="2" borderId="2" xfId="1" applyNumberFormat="1" applyFont="1" applyFill="1" applyBorder="1"/>
    <xf numFmtId="4" fontId="4" fillId="5" borderId="2" xfId="1" applyNumberFormat="1" applyFont="1" applyFill="1" applyBorder="1"/>
    <xf numFmtId="4" fontId="4" fillId="5" borderId="3" xfId="1" applyNumberFormat="1" applyFont="1" applyFill="1" applyBorder="1"/>
    <xf numFmtId="4" fontId="4" fillId="5" borderId="17" xfId="1" applyNumberFormat="1" applyFont="1" applyFill="1" applyBorder="1"/>
    <xf numFmtId="4" fontId="4" fillId="5" borderId="8" xfId="1" applyNumberFormat="1" applyFont="1" applyFill="1" applyBorder="1"/>
    <xf numFmtId="4" fontId="4" fillId="5" borderId="25" xfId="1" applyNumberFormat="1" applyFont="1" applyFill="1" applyBorder="1"/>
    <xf numFmtId="4" fontId="4" fillId="5" borderId="26" xfId="1" applyNumberFormat="1" applyFont="1" applyFill="1" applyBorder="1"/>
    <xf numFmtId="0" fontId="0" fillId="25" borderId="6" xfId="0" applyFill="1" applyBorder="1" applyAlignment="1">
      <alignment horizontal="center"/>
    </xf>
    <xf numFmtId="0" fontId="0" fillId="26" borderId="6" xfId="0" applyFill="1" applyBorder="1" applyAlignment="1">
      <alignment horizontal="center"/>
    </xf>
    <xf numFmtId="0" fontId="0" fillId="27" borderId="6" xfId="0" applyFill="1" applyBorder="1" applyAlignment="1">
      <alignment horizontal="center"/>
    </xf>
    <xf numFmtId="0" fontId="9" fillId="0" borderId="6" xfId="0" applyFont="1" applyBorder="1" applyAlignment="1">
      <alignment horizontal="center"/>
    </xf>
    <xf numFmtId="0" fontId="0" fillId="13" borderId="6" xfId="0" applyFill="1" applyBorder="1" applyAlignment="1">
      <alignment horizontal="center"/>
    </xf>
    <xf numFmtId="0" fontId="0" fillId="21" borderId="6" xfId="0" applyFill="1" applyBorder="1" applyAlignment="1">
      <alignment horizontal="center"/>
    </xf>
    <xf numFmtId="0" fontId="0" fillId="22" borderId="6" xfId="0" applyFill="1" applyBorder="1" applyAlignment="1">
      <alignment horizontal="center"/>
    </xf>
    <xf numFmtId="0" fontId="0" fillId="23" borderId="6" xfId="0" applyFill="1" applyBorder="1" applyAlignment="1">
      <alignment horizontal="center"/>
    </xf>
    <xf numFmtId="0" fontId="0" fillId="24" borderId="6" xfId="0" applyFill="1" applyBorder="1" applyAlignment="1">
      <alignment horizontal="center"/>
    </xf>
    <xf numFmtId="0" fontId="6" fillId="4" borderId="0" xfId="0" applyFont="1" applyFill="1" applyAlignment="1">
      <alignment horizontal="center"/>
    </xf>
    <xf numFmtId="0" fontId="6" fillId="4" borderId="14"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10" borderId="2" xfId="0" applyFont="1" applyFill="1" applyBorder="1" applyAlignment="1">
      <alignment horizontal="center"/>
    </xf>
    <xf numFmtId="0" fontId="3" fillId="10" borderId="3" xfId="0" applyFont="1" applyFill="1" applyBorder="1" applyAlignment="1">
      <alignment horizontal="center"/>
    </xf>
    <xf numFmtId="0" fontId="3" fillId="11" borderId="2" xfId="0" applyFont="1" applyFill="1" applyBorder="1" applyAlignment="1">
      <alignment horizontal="center"/>
    </xf>
    <xf numFmtId="0" fontId="3" fillId="11" borderId="3" xfId="0" applyFont="1" applyFill="1" applyBorder="1" applyAlignment="1">
      <alignment horizontal="center"/>
    </xf>
    <xf numFmtId="0" fontId="3" fillId="19" borderId="19" xfId="0" applyFont="1" applyFill="1" applyBorder="1" applyAlignment="1">
      <alignment horizontal="center"/>
    </xf>
    <xf numFmtId="0" fontId="3" fillId="19" borderId="5" xfId="0" applyFont="1" applyFill="1" applyBorder="1" applyAlignment="1">
      <alignment horizontal="center"/>
    </xf>
    <xf numFmtId="0" fontId="3" fillId="13" borderId="10" xfId="0" applyFont="1" applyFill="1" applyBorder="1" applyAlignment="1">
      <alignment horizontal="center"/>
    </xf>
    <xf numFmtId="0" fontId="3" fillId="13" borderId="4" xfId="0" applyFont="1" applyFill="1" applyBorder="1" applyAlignment="1">
      <alignment horizontal="center"/>
    </xf>
    <xf numFmtId="0" fontId="3" fillId="17" borderId="2" xfId="0" applyFont="1" applyFill="1" applyBorder="1" applyAlignment="1">
      <alignment horizontal="center"/>
    </xf>
    <xf numFmtId="0" fontId="3" fillId="17" borderId="3" xfId="0" applyFont="1" applyFill="1" applyBorder="1" applyAlignment="1">
      <alignment horizontal="center"/>
    </xf>
    <xf numFmtId="0" fontId="3" fillId="16" borderId="2" xfId="0" applyFont="1" applyFill="1" applyBorder="1" applyAlignment="1">
      <alignment horizontal="center"/>
    </xf>
    <xf numFmtId="0" fontId="3" fillId="16" borderId="3" xfId="0" applyFont="1" applyFill="1" applyBorder="1" applyAlignment="1">
      <alignment horizontal="center"/>
    </xf>
    <xf numFmtId="0" fontId="4" fillId="17" borderId="6" xfId="0" applyFont="1" applyFill="1" applyBorder="1" applyAlignment="1">
      <alignment horizontal="center" vertical="center" wrapText="1"/>
    </xf>
    <xf numFmtId="0" fontId="6" fillId="17" borderId="6" xfId="0" applyFont="1" applyFill="1" applyBorder="1" applyAlignment="1">
      <alignment horizontal="center" vertical="center" wrapText="1"/>
    </xf>
    <xf numFmtId="0" fontId="0" fillId="18" borderId="6" xfId="0" applyFill="1" applyBorder="1" applyAlignment="1">
      <alignment horizontal="center" vertical="center" wrapText="1"/>
    </xf>
    <xf numFmtId="0" fontId="0" fillId="18" borderId="8" xfId="0" applyFill="1" applyBorder="1" applyAlignment="1">
      <alignment horizontal="center" vertical="center" wrapText="1"/>
    </xf>
    <xf numFmtId="0" fontId="0" fillId="18" borderId="17" xfId="0" applyFill="1" applyBorder="1" applyAlignment="1">
      <alignment horizontal="center" vertical="center" wrapText="1"/>
    </xf>
    <xf numFmtId="0" fontId="0" fillId="18" borderId="15" xfId="0" applyFill="1" applyBorder="1" applyAlignment="1">
      <alignment horizontal="center" vertical="center" wrapText="1"/>
    </xf>
    <xf numFmtId="0" fontId="0" fillId="18" borderId="18" xfId="0" applyFill="1" applyBorder="1" applyAlignment="1">
      <alignment horizontal="center" vertical="center" wrapText="1"/>
    </xf>
    <xf numFmtId="0" fontId="4" fillId="13" borderId="6" xfId="0" applyFont="1" applyFill="1" applyBorder="1" applyAlignment="1">
      <alignment horizontal="center" vertical="center" wrapText="1"/>
    </xf>
    <xf numFmtId="0" fontId="6" fillId="13" borderId="6"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4" fillId="16" borderId="6" xfId="0" applyFont="1" applyFill="1" applyBorder="1" applyAlignment="1">
      <alignment horizontal="center" vertical="center" wrapText="1"/>
    </xf>
    <xf numFmtId="0" fontId="6" fillId="16" borderId="6" xfId="0" applyFont="1" applyFill="1" applyBorder="1" applyAlignment="1">
      <alignment horizontal="center" vertical="center" wrapText="1"/>
    </xf>
    <xf numFmtId="0" fontId="8" fillId="18" borderId="6"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0" fillId="7" borderId="6" xfId="0" applyFill="1" applyBorder="1" applyAlignment="1">
      <alignment horizontal="center" vertical="center" wrapText="1"/>
    </xf>
    <xf numFmtId="0" fontId="3" fillId="16" borderId="12" xfId="0" applyFont="1" applyFill="1" applyBorder="1" applyAlignment="1">
      <alignment horizontal="center" vertical="center" wrapText="1"/>
    </xf>
    <xf numFmtId="0" fontId="3" fillId="16" borderId="13" xfId="0" applyFont="1" applyFill="1" applyBorder="1" applyAlignment="1">
      <alignment horizontal="center" vertical="center" wrapText="1"/>
    </xf>
    <xf numFmtId="0" fontId="3" fillId="13" borderId="7" xfId="0" applyFont="1" applyFill="1" applyBorder="1" applyAlignment="1">
      <alignment horizontal="center" vertical="center"/>
    </xf>
    <xf numFmtId="0" fontId="3" fillId="13" borderId="14" xfId="0" applyFont="1" applyFill="1" applyBorder="1" applyAlignment="1">
      <alignment horizontal="center" vertical="center"/>
    </xf>
    <xf numFmtId="0" fontId="6" fillId="17" borderId="8" xfId="0" applyFont="1" applyFill="1" applyBorder="1" applyAlignment="1">
      <alignment horizontal="center" vertical="center" wrapText="1"/>
    </xf>
    <xf numFmtId="0" fontId="6" fillId="17" borderId="15"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3" fillId="9" borderId="13"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12" borderId="7" xfId="0" applyFont="1" applyFill="1" applyBorder="1" applyAlignment="1">
      <alignment horizontal="center" vertical="center" wrapText="1"/>
    </xf>
    <xf numFmtId="0" fontId="3" fillId="12" borderId="14" xfId="0" applyFont="1" applyFill="1" applyBorder="1" applyAlignment="1">
      <alignment horizontal="center" vertical="center" wrapText="1"/>
    </xf>
    <xf numFmtId="0" fontId="3" fillId="11" borderId="12" xfId="0" applyFont="1" applyFill="1" applyBorder="1" applyAlignment="1">
      <alignment horizontal="center" vertical="center" wrapText="1"/>
    </xf>
    <xf numFmtId="0" fontId="3" fillId="11" borderId="13" xfId="0" applyFont="1" applyFill="1" applyBorder="1" applyAlignment="1">
      <alignment horizontal="center" vertical="center" wrapText="1"/>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6" fillId="17" borderId="4" xfId="0" applyFont="1" applyFill="1" applyBorder="1" applyAlignment="1">
      <alignment horizontal="center" vertical="center" wrapText="1"/>
    </xf>
    <xf numFmtId="0" fontId="6" fillId="17" borderId="10"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0" borderId="0" xfId="0" applyFont="1" applyAlignment="1">
      <alignment horizontal="center"/>
    </xf>
    <xf numFmtId="0" fontId="3" fillId="8" borderId="2" xfId="0" applyFont="1" applyFill="1" applyBorder="1" applyAlignment="1">
      <alignment horizontal="center"/>
    </xf>
    <xf numFmtId="0" fontId="3" fillId="8" borderId="3" xfId="0" applyFont="1" applyFill="1" applyBorder="1" applyAlignment="1">
      <alignment horizontal="center"/>
    </xf>
    <xf numFmtId="0" fontId="3" fillId="9" borderId="2" xfId="0" applyFont="1" applyFill="1" applyBorder="1" applyAlignment="1">
      <alignment horizontal="center"/>
    </xf>
    <xf numFmtId="0" fontId="3" fillId="9" borderId="3" xfId="0" applyFont="1" applyFill="1" applyBorder="1" applyAlignment="1">
      <alignment horizontal="center"/>
    </xf>
    <xf numFmtId="0" fontId="3" fillId="12" borderId="10" xfId="0" applyFont="1" applyFill="1" applyBorder="1" applyAlignment="1">
      <alignment horizontal="center"/>
    </xf>
    <xf numFmtId="0" fontId="3" fillId="12" borderId="4" xfId="0" applyFont="1" applyFill="1" applyBorder="1" applyAlignment="1">
      <alignment horizontal="center"/>
    </xf>
    <xf numFmtId="0" fontId="3" fillId="4" borderId="6" xfId="0" applyFont="1" applyFill="1" applyBorder="1" applyAlignment="1">
      <alignment horizontal="center" vertical="center"/>
    </xf>
    <xf numFmtId="0" fontId="3" fillId="14" borderId="6" xfId="0" applyFont="1" applyFill="1" applyBorder="1" applyAlignment="1">
      <alignment horizontal="center" vertical="center" wrapText="1"/>
    </xf>
    <xf numFmtId="0" fontId="3" fillId="8" borderId="6" xfId="0" applyFont="1" applyFill="1" applyBorder="1" applyAlignment="1">
      <alignment horizontal="center" vertical="center"/>
    </xf>
    <xf numFmtId="0" fontId="3" fillId="9" borderId="6"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3" fillId="12" borderId="6"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3" fillId="14" borderId="10" xfId="0" applyFont="1" applyFill="1" applyBorder="1" applyAlignment="1">
      <alignment horizontal="center"/>
    </xf>
    <xf numFmtId="0" fontId="3" fillId="14" borderId="3" xfId="0" applyFont="1" applyFill="1" applyBorder="1" applyAlignment="1">
      <alignment horizontal="center"/>
    </xf>
    <xf numFmtId="0" fontId="3" fillId="15" borderId="10" xfId="0" applyFont="1" applyFill="1" applyBorder="1" applyAlignment="1">
      <alignment horizontal="center"/>
    </xf>
    <xf numFmtId="0" fontId="3" fillId="15" borderId="3" xfId="0" applyFont="1" applyFill="1" applyBorder="1" applyAlignment="1">
      <alignment horizontal="center"/>
    </xf>
    <xf numFmtId="0" fontId="6" fillId="4" borderId="6" xfId="0" applyFont="1" applyFill="1" applyBorder="1" applyAlignment="1">
      <alignment horizontal="center"/>
    </xf>
    <xf numFmtId="0" fontId="3" fillId="3" borderId="6" xfId="0" applyFont="1" applyFill="1" applyBorder="1" applyAlignment="1">
      <alignment horizontal="center" vertical="center" wrapText="1"/>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10" borderId="10" xfId="0" applyFont="1" applyFill="1" applyBorder="1" applyAlignment="1">
      <alignment horizontal="center"/>
    </xf>
  </cellXfs>
  <cellStyles count="2">
    <cellStyle name="Milliers" xfId="1" builtinId="3"/>
    <cellStyle name="Normal" xfId="0" builtinId="0"/>
  </cellStyles>
  <dxfs count="0"/>
  <tableStyles count="0" defaultTableStyle="TableStyleMedium2" defaultPivotStyle="PivotStyleLight16"/>
  <colors>
    <mruColors>
      <color rgb="FF99CCFF"/>
      <color rgb="FFFFFFFF"/>
      <color rgb="FFF8FBBB"/>
      <color rgb="FFEF3F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abSelected="1" zoomScaleNormal="100" workbookViewId="0">
      <selection activeCell="P25" sqref="P25"/>
    </sheetView>
  </sheetViews>
  <sheetFormatPr baseColWidth="10" defaultColWidth="11" defaultRowHeight="13.5"/>
  <cols>
    <col min="1" max="1" width="20.375" customWidth="1"/>
    <col min="2" max="2" width="16" customWidth="1"/>
    <col min="3" max="3" width="15.125" customWidth="1"/>
    <col min="4" max="5" width="14.125" customWidth="1"/>
    <col min="6" max="6" width="18.375" customWidth="1"/>
    <col min="7" max="7" width="14.125" customWidth="1"/>
    <col min="8" max="8" width="18.625" customWidth="1"/>
    <col min="9" max="9" width="17.375" customWidth="1"/>
    <col min="10" max="10" width="18.625" customWidth="1"/>
    <col min="11" max="12" width="17.375" customWidth="1"/>
    <col min="13" max="13" width="19.375" customWidth="1"/>
    <col min="14" max="15" width="15.375" customWidth="1"/>
    <col min="16" max="16" width="16" customWidth="1"/>
    <col min="17" max="17" width="17.125" customWidth="1"/>
    <col min="18" max="18" width="19.125" customWidth="1"/>
    <col min="19" max="19" width="18" customWidth="1"/>
    <col min="20" max="20" width="13.875" customWidth="1"/>
    <col min="21" max="24" width="11" customWidth="1"/>
  </cols>
  <sheetData>
    <row r="1" spans="1:19" ht="63.6" customHeight="1">
      <c r="A1" s="85" t="s">
        <v>94</v>
      </c>
    </row>
    <row r="2" spans="1:19" ht="15">
      <c r="A2" s="72"/>
      <c r="B2" s="171">
        <v>2018</v>
      </c>
      <c r="C2" s="171"/>
      <c r="D2" s="172">
        <v>2019</v>
      </c>
      <c r="E2" s="172"/>
      <c r="F2" s="173">
        <v>2020</v>
      </c>
      <c r="G2" s="173"/>
      <c r="H2" s="174">
        <v>2021</v>
      </c>
      <c r="I2" s="174"/>
      <c r="J2" s="175">
        <v>2022</v>
      </c>
      <c r="K2" s="175"/>
      <c r="L2" s="167">
        <v>2023</v>
      </c>
      <c r="M2" s="167"/>
      <c r="N2" s="168">
        <v>2024</v>
      </c>
      <c r="O2" s="168"/>
      <c r="P2" s="169">
        <v>2025</v>
      </c>
      <c r="Q2" s="169"/>
      <c r="R2" s="170" t="s">
        <v>90</v>
      </c>
      <c r="S2" s="170"/>
    </row>
    <row r="3" spans="1:19" ht="15">
      <c r="A3" s="72"/>
      <c r="B3" s="73" t="s">
        <v>6</v>
      </c>
      <c r="C3" s="73" t="s">
        <v>7</v>
      </c>
      <c r="D3" s="73" t="s">
        <v>6</v>
      </c>
      <c r="E3" s="73" t="s">
        <v>7</v>
      </c>
      <c r="F3" s="73" t="s">
        <v>6</v>
      </c>
      <c r="G3" s="73" t="s">
        <v>7</v>
      </c>
      <c r="H3" s="73" t="s">
        <v>6</v>
      </c>
      <c r="I3" s="73" t="s">
        <v>7</v>
      </c>
      <c r="J3" s="73" t="s">
        <v>6</v>
      </c>
      <c r="K3" s="73" t="s">
        <v>7</v>
      </c>
      <c r="L3" s="73" t="s">
        <v>6</v>
      </c>
      <c r="M3" s="73" t="s">
        <v>7</v>
      </c>
      <c r="N3" s="73" t="s">
        <v>6</v>
      </c>
      <c r="O3" s="73" t="s">
        <v>7</v>
      </c>
      <c r="P3" s="73" t="s">
        <v>6</v>
      </c>
      <c r="Q3" s="73" t="s">
        <v>7</v>
      </c>
      <c r="R3" s="81" t="s">
        <v>6</v>
      </c>
      <c r="S3" s="81" t="s">
        <v>7</v>
      </c>
    </row>
    <row r="4" spans="1:19" ht="15">
      <c r="A4" s="74" t="s">
        <v>56</v>
      </c>
      <c r="B4" s="75">
        <f>'2018'!B43</f>
        <v>10114.586562499999</v>
      </c>
      <c r="C4" s="75">
        <f>'2018'!C43</f>
        <v>32366.677</v>
      </c>
      <c r="D4" s="75">
        <f>'2019'!J36</f>
        <v>298195.79656249995</v>
      </c>
      <c r="E4" s="75">
        <f>'2019'!K36</f>
        <v>954226.54900000012</v>
      </c>
      <c r="F4" s="75">
        <f>'2020'!L49</f>
        <v>365754.86781249999</v>
      </c>
      <c r="G4" s="90">
        <f>'2020'!M49</f>
        <v>576223.59900000005</v>
      </c>
      <c r="H4" s="90">
        <f>'2021'!L55</f>
        <v>10961.992812499999</v>
      </c>
      <c r="I4" s="90">
        <f>'2021'!M55</f>
        <v>35078.377</v>
      </c>
      <c r="J4" s="91"/>
      <c r="K4" s="91"/>
      <c r="L4" s="91"/>
      <c r="M4" s="91"/>
      <c r="N4" s="91"/>
      <c r="O4" s="91"/>
      <c r="P4" s="91"/>
      <c r="Q4" s="91"/>
      <c r="R4" s="92">
        <f>P4+N4+L4+J4+H4+F4+D4+B4</f>
        <v>685027.24374999991</v>
      </c>
      <c r="S4" s="92">
        <f>Q4+O4+M4+K4+I4+G4+E4+C4</f>
        <v>1597895.202</v>
      </c>
    </row>
    <row r="5" spans="1:19" ht="15">
      <c r="A5" s="76" t="s">
        <v>81</v>
      </c>
      <c r="B5" s="77"/>
      <c r="C5" s="77"/>
      <c r="D5" s="78">
        <f>'2019'!B36</f>
        <v>7432.6334374999997</v>
      </c>
      <c r="E5" s="78">
        <f>'2019'!C36</f>
        <v>26472.681</v>
      </c>
      <c r="F5" s="79">
        <f>SUM('2020'!B49)</f>
        <v>0</v>
      </c>
      <c r="G5" s="93">
        <v>0</v>
      </c>
      <c r="H5" s="93">
        <f>SUM('2021'!B55)</f>
        <v>0</v>
      </c>
      <c r="I5" s="93">
        <f>SUM('2021'!C55)</f>
        <v>0</v>
      </c>
      <c r="J5" s="93">
        <f>SUM('2022'!B59)</f>
        <v>0</v>
      </c>
      <c r="K5" s="93">
        <f>SUM('2022'!C59)</f>
        <v>0</v>
      </c>
      <c r="L5" s="94">
        <f>SUM('2023'!B55)</f>
        <v>4000</v>
      </c>
      <c r="M5" s="94">
        <f>SUM('2023'!C55)</f>
        <v>12881.554</v>
      </c>
      <c r="N5" s="91"/>
      <c r="O5" s="91"/>
      <c r="P5" s="93"/>
      <c r="Q5" s="93"/>
      <c r="R5" s="95">
        <f t="shared" ref="R5:S17" si="0">P5+N5+L5+J5+H5+F5+D5+B5</f>
        <v>11432.633437500001</v>
      </c>
      <c r="S5" s="95">
        <f t="shared" si="0"/>
        <v>39354.235000000001</v>
      </c>
    </row>
    <row r="6" spans="1:19" ht="15">
      <c r="A6" s="76" t="s">
        <v>82</v>
      </c>
      <c r="B6" s="77"/>
      <c r="C6" s="77"/>
      <c r="D6" s="79">
        <f>'2019'!D36</f>
        <v>0</v>
      </c>
      <c r="E6" s="79">
        <f>'2019'!E36</f>
        <v>0</v>
      </c>
      <c r="F6" s="76">
        <f>SUM('2020'!D49)</f>
        <v>7083.9381249999988</v>
      </c>
      <c r="G6" s="94">
        <f>SUM('2020'!E49)</f>
        <v>22668.601999999999</v>
      </c>
      <c r="H6" s="94">
        <f>SUM('2021'!D55)</f>
        <v>8435</v>
      </c>
      <c r="I6" s="94">
        <f>SUM('2021'!E55)</f>
        <v>37300.147999999994</v>
      </c>
      <c r="J6" s="94">
        <f>SUM('2022'!D59)</f>
        <v>7072</v>
      </c>
      <c r="K6" s="94">
        <f>SUM('2022'!E59)</f>
        <v>29360.884999999998</v>
      </c>
      <c r="L6" s="94">
        <f>SUM('2023'!D55)</f>
        <v>3072</v>
      </c>
      <c r="M6" s="94">
        <f>SUM('2023'!E55)</f>
        <v>9935.8730000000014</v>
      </c>
      <c r="N6" s="91"/>
      <c r="O6" s="91"/>
      <c r="P6" s="93"/>
      <c r="Q6" s="93"/>
      <c r="R6" s="95">
        <f t="shared" si="0"/>
        <v>25662.938125000001</v>
      </c>
      <c r="S6" s="95">
        <f t="shared" si="0"/>
        <v>99265.507999999987</v>
      </c>
    </row>
    <row r="7" spans="1:19" ht="15">
      <c r="A7" s="76" t="s">
        <v>83</v>
      </c>
      <c r="B7" s="77"/>
      <c r="C7" s="77"/>
      <c r="D7" s="78">
        <f>'2019'!F36</f>
        <v>2705.9740624999999</v>
      </c>
      <c r="E7" s="78">
        <f>'2019'!G36</f>
        <v>8659.1170000000002</v>
      </c>
      <c r="F7" s="79">
        <v>0</v>
      </c>
      <c r="G7" s="93">
        <v>0</v>
      </c>
      <c r="H7" s="94">
        <f>SUM('2021'!F55)</f>
        <v>4907.1000000000004</v>
      </c>
      <c r="I7" s="94">
        <f>SUM('2021'!G55)</f>
        <v>15737.74</v>
      </c>
      <c r="J7" s="94">
        <f>SUM('2022'!F59)</f>
        <v>0</v>
      </c>
      <c r="K7" s="94">
        <f>SUM('2022'!G59)</f>
        <v>15133.887000000001</v>
      </c>
      <c r="L7" s="93">
        <f>SUM('2023'!F55)</f>
        <v>0</v>
      </c>
      <c r="M7" s="93">
        <f>SUM('2023'!G55)</f>
        <v>0</v>
      </c>
      <c r="N7" s="94">
        <f>SUM('2024'!B41)</f>
        <v>8100</v>
      </c>
      <c r="O7" s="94">
        <f>SUM('2024'!C41)</f>
        <v>26464.987000000001</v>
      </c>
      <c r="P7" s="94">
        <f>SUM('2025'!B51)</f>
        <v>1565.608649105083</v>
      </c>
      <c r="Q7" s="94">
        <f>SUM('2025'!C51)</f>
        <v>5191.4799999999996</v>
      </c>
      <c r="R7" s="95">
        <f t="shared" si="0"/>
        <v>17278.682711605084</v>
      </c>
      <c r="S7" s="95">
        <f t="shared" si="0"/>
        <v>71187.210999999996</v>
      </c>
    </row>
    <row r="8" spans="1:19" ht="15">
      <c r="A8" s="76" t="s">
        <v>85</v>
      </c>
      <c r="B8" s="77"/>
      <c r="C8" s="77"/>
      <c r="D8" s="78">
        <f>'2019'!H36</f>
        <v>0</v>
      </c>
      <c r="E8" s="78">
        <f>'2019'!I36</f>
        <v>97329.671000000002</v>
      </c>
      <c r="F8" s="86">
        <f>SUM('2020'!J49)</f>
        <v>0</v>
      </c>
      <c r="G8" s="94">
        <f>SUM('2020'!K49)</f>
        <v>347326.42999999993</v>
      </c>
      <c r="H8" s="96">
        <f>SUM('2021'!J55)</f>
        <v>0</v>
      </c>
      <c r="I8" s="94">
        <f>SUM('2021'!K55)</f>
        <v>186605.16100000002</v>
      </c>
      <c r="J8" s="94">
        <f>SUM('2022'!J59)</f>
        <v>0</v>
      </c>
      <c r="K8" s="94">
        <f>SUM('2022'!K59)</f>
        <v>398828.11400000006</v>
      </c>
      <c r="L8" s="94">
        <f>SUM('2023'!J55)</f>
        <v>0</v>
      </c>
      <c r="M8" s="94">
        <f>SUM('2023'!K55)</f>
        <v>212900.81199999998</v>
      </c>
      <c r="N8" s="94">
        <f>SUM('2024'!D41)</f>
        <v>0</v>
      </c>
      <c r="O8" s="94">
        <f>SUM('2024'!E41)</f>
        <v>33888.385999999999</v>
      </c>
      <c r="P8" s="94">
        <f>SUM('2025'!D51)</f>
        <v>0</v>
      </c>
      <c r="Q8" s="94">
        <f>SUM('2025'!E51)</f>
        <v>0</v>
      </c>
      <c r="R8" s="95">
        <f t="shared" si="0"/>
        <v>0</v>
      </c>
      <c r="S8" s="95">
        <f t="shared" si="0"/>
        <v>1276878.574</v>
      </c>
    </row>
    <row r="9" spans="1:19" ht="15">
      <c r="A9" s="76" t="s">
        <v>84</v>
      </c>
      <c r="B9" s="77"/>
      <c r="C9" s="77"/>
      <c r="D9" s="77"/>
      <c r="E9" s="77"/>
      <c r="F9" s="76">
        <f>SUM('2020'!H49)</f>
        <v>15008.3553125</v>
      </c>
      <c r="G9" s="94">
        <f>SUM('2020'!I49)</f>
        <v>47872.914000000004</v>
      </c>
      <c r="H9" s="94">
        <f>SUM('2021'!H55)</f>
        <v>145093.63</v>
      </c>
      <c r="I9" s="94">
        <f>SUM('2021'!I55)</f>
        <v>481381.185</v>
      </c>
      <c r="J9" s="94">
        <f>SUM('2022'!H59)</f>
        <v>193291.36600000001</v>
      </c>
      <c r="K9" s="94">
        <f>SUM('2022'!I59)</f>
        <v>549682.85900000005</v>
      </c>
      <c r="L9" s="93">
        <f>SUM('2023'!H55)</f>
        <v>0</v>
      </c>
      <c r="M9" s="93">
        <f>SUM('2023'!I55)</f>
        <v>0</v>
      </c>
      <c r="N9" s="93"/>
      <c r="O9" s="93"/>
      <c r="P9" s="93"/>
      <c r="Q9" s="93"/>
      <c r="R9" s="95">
        <f t="shared" si="0"/>
        <v>353393.35131250002</v>
      </c>
      <c r="S9" s="95">
        <f t="shared" si="0"/>
        <v>1078936.9580000001</v>
      </c>
    </row>
    <row r="10" spans="1:19" ht="15">
      <c r="A10" s="76" t="s">
        <v>86</v>
      </c>
      <c r="B10" s="77"/>
      <c r="C10" s="77"/>
      <c r="D10" s="77"/>
      <c r="E10" s="77"/>
      <c r="F10" s="76">
        <f>SUM('2020'!N49)</f>
        <v>34228.393750000003</v>
      </c>
      <c r="G10" s="94">
        <f>SUM('2020'!O49)</f>
        <v>109436.23699999999</v>
      </c>
      <c r="H10" s="93">
        <f>SUM('2021'!N55)</f>
        <v>0</v>
      </c>
      <c r="I10" s="93">
        <f>SUM('2021'!O55)</f>
        <v>0</v>
      </c>
      <c r="J10" s="91"/>
      <c r="K10" s="91"/>
      <c r="L10" s="91"/>
      <c r="M10" s="91"/>
      <c r="N10" s="93"/>
      <c r="O10" s="93"/>
      <c r="P10" s="93"/>
      <c r="Q10" s="93"/>
      <c r="R10" s="95">
        <f t="shared" si="0"/>
        <v>34228.393750000003</v>
      </c>
      <c r="S10" s="95">
        <f t="shared" si="0"/>
        <v>109436.23699999999</v>
      </c>
    </row>
    <row r="11" spans="1:19" ht="15">
      <c r="A11" s="76" t="s">
        <v>87</v>
      </c>
      <c r="B11" s="77"/>
      <c r="C11" s="77"/>
      <c r="D11" s="77"/>
      <c r="E11" s="77"/>
      <c r="F11" s="77"/>
      <c r="G11" s="93"/>
      <c r="H11" s="93"/>
      <c r="I11" s="93"/>
      <c r="J11" s="94">
        <f>SUM('2022'!N59)</f>
        <v>39051</v>
      </c>
      <c r="K11" s="94">
        <f>SUM('2022'!O59)</f>
        <v>125596.02100000001</v>
      </c>
      <c r="L11" s="91"/>
      <c r="M11" s="91"/>
      <c r="N11" s="93"/>
      <c r="O11" s="93"/>
      <c r="P11" s="93"/>
      <c r="Q11" s="93"/>
      <c r="R11" s="95">
        <f t="shared" si="0"/>
        <v>39051</v>
      </c>
      <c r="S11" s="95">
        <f t="shared" si="0"/>
        <v>125596.02100000001</v>
      </c>
    </row>
    <row r="12" spans="1:19" ht="15.75" customHeight="1">
      <c r="A12" s="76" t="s">
        <v>91</v>
      </c>
      <c r="B12" s="77"/>
      <c r="C12" s="77"/>
      <c r="D12" s="77"/>
      <c r="E12" s="77"/>
      <c r="F12" s="77"/>
      <c r="G12" s="93"/>
      <c r="H12" s="93"/>
      <c r="I12" s="93"/>
      <c r="J12" s="94">
        <f>SUM('2022'!L59)</f>
        <v>143406</v>
      </c>
      <c r="K12" s="94">
        <f>SUM('2022'!M59)</f>
        <v>447325.03099999996</v>
      </c>
      <c r="L12" s="94">
        <f>SUM('2023'!L55)</f>
        <v>165000</v>
      </c>
      <c r="M12" s="94">
        <f>SUM('2023'!M55)</f>
        <v>539442.38799999992</v>
      </c>
      <c r="N12" s="93"/>
      <c r="O12" s="93"/>
      <c r="P12" s="93"/>
      <c r="Q12" s="93"/>
      <c r="R12" s="95">
        <f>SUM(J12+L12)</f>
        <v>308406</v>
      </c>
      <c r="S12" s="95">
        <f t="shared" ref="S12" si="1">Q12+O12+M12+K12+I12+G12+E12+C12</f>
        <v>986767.41899999988</v>
      </c>
    </row>
    <row r="13" spans="1:19" ht="15">
      <c r="A13" s="76" t="s">
        <v>88</v>
      </c>
      <c r="B13" s="77"/>
      <c r="C13" s="77"/>
      <c r="D13" s="77"/>
      <c r="E13" s="77"/>
      <c r="F13" s="77"/>
      <c r="G13" s="93"/>
      <c r="H13" s="93"/>
      <c r="I13" s="93"/>
      <c r="J13" s="91"/>
      <c r="K13" s="91"/>
      <c r="L13" s="94">
        <f>SUM('2023'!N55)</f>
        <v>75000</v>
      </c>
      <c r="M13" s="94">
        <f>SUM('2023'!O55)</f>
        <v>244760.91399999999</v>
      </c>
      <c r="N13" s="94">
        <f>SUM('2024'!F41)</f>
        <v>75000</v>
      </c>
      <c r="O13" s="94">
        <f>SUM('2024'!G41)</f>
        <v>246518.5</v>
      </c>
      <c r="P13" s="96">
        <f>SUM('2025'!L15+'2025'!L20)</f>
        <v>20000</v>
      </c>
      <c r="Q13" s="96">
        <f>SUM('2025'!M15+'2025'!M20)</f>
        <v>65504.025000000001</v>
      </c>
      <c r="R13" s="95">
        <f t="shared" si="0"/>
        <v>170000</v>
      </c>
      <c r="S13" s="95">
        <f t="shared" si="0"/>
        <v>556783.43900000001</v>
      </c>
    </row>
    <row r="14" spans="1:19" ht="15">
      <c r="A14" s="76" t="s">
        <v>92</v>
      </c>
      <c r="B14" s="77"/>
      <c r="C14" s="77"/>
      <c r="D14" s="77"/>
      <c r="E14" s="77"/>
      <c r="F14" s="77"/>
      <c r="G14" s="93"/>
      <c r="H14" s="93"/>
      <c r="I14" s="93"/>
      <c r="J14" s="91"/>
      <c r="K14" s="91"/>
      <c r="L14" s="94">
        <f>SUM('2023'!R55)</f>
        <v>150177.85</v>
      </c>
      <c r="M14" s="94">
        <f>SUM('2023'!S55)</f>
        <v>497617.96799999999</v>
      </c>
      <c r="N14" s="94">
        <f>SUM('2024'!J41)</f>
        <v>255087</v>
      </c>
      <c r="O14" s="94">
        <f>SUM('2024'!K41)</f>
        <v>843266.63400000008</v>
      </c>
      <c r="P14" s="94">
        <f>SUM('2025'!J51)</f>
        <v>80292</v>
      </c>
      <c r="Q14" s="94">
        <f>SUM('2025'!K51)</f>
        <v>264630.20500000002</v>
      </c>
      <c r="R14" s="95">
        <f t="shared" ref="R14:R15" si="2">P14+N14+L14+J14+H14+F14+D14+B14</f>
        <v>485556.85</v>
      </c>
      <c r="S14" s="95">
        <f t="shared" ref="S14:S15" si="3">Q14+O14+M14+K14+I14+G14+E14+C14</f>
        <v>1605514.807</v>
      </c>
    </row>
    <row r="15" spans="1:19" ht="15">
      <c r="A15" s="76" t="s">
        <v>93</v>
      </c>
      <c r="B15" s="77"/>
      <c r="C15" s="77"/>
      <c r="D15" s="77"/>
      <c r="E15" s="77"/>
      <c r="F15" s="77"/>
      <c r="G15" s="93"/>
      <c r="H15" s="93"/>
      <c r="I15" s="93"/>
      <c r="J15" s="91"/>
      <c r="K15" s="91"/>
      <c r="L15" s="94">
        <f>SUM('2023'!P55)</f>
        <v>50000</v>
      </c>
      <c r="M15" s="94">
        <f>SUM('2023'!Q55)</f>
        <v>164203.23699999999</v>
      </c>
      <c r="N15" s="94">
        <f>SUM('2024'!H41)</f>
        <v>100000</v>
      </c>
      <c r="O15" s="94">
        <f>SUM('2024'!I41)</f>
        <v>293760.73699999996</v>
      </c>
      <c r="P15" s="94">
        <f>SUM('2025'!H51)</f>
        <v>50000</v>
      </c>
      <c r="Q15" s="94">
        <f>SUM('2025'!I51)</f>
        <v>163674</v>
      </c>
      <c r="R15" s="95">
        <f t="shared" si="2"/>
        <v>200000</v>
      </c>
      <c r="S15" s="95">
        <f t="shared" si="3"/>
        <v>621637.97399999993</v>
      </c>
    </row>
    <row r="16" spans="1:19" ht="15">
      <c r="A16" s="76" t="s">
        <v>89</v>
      </c>
      <c r="B16" s="77"/>
      <c r="C16" s="77"/>
      <c r="D16" s="77"/>
      <c r="E16" s="77"/>
      <c r="F16" s="77"/>
      <c r="G16" s="93"/>
      <c r="H16" s="93"/>
      <c r="I16" s="93"/>
      <c r="J16" s="91"/>
      <c r="K16" s="91"/>
      <c r="L16" s="91"/>
      <c r="M16" s="91"/>
      <c r="N16" s="93"/>
      <c r="O16" s="93"/>
      <c r="P16" s="94">
        <f>SUM('2025'!F51)</f>
        <v>30000</v>
      </c>
      <c r="Q16" s="94">
        <f>SUM('2025'!G51)</f>
        <v>97458.024999999994</v>
      </c>
      <c r="R16" s="95">
        <f t="shared" si="0"/>
        <v>30000</v>
      </c>
      <c r="S16" s="95">
        <f t="shared" si="0"/>
        <v>97458.024999999994</v>
      </c>
    </row>
    <row r="17" spans="1:19" ht="15">
      <c r="A17" s="80" t="s">
        <v>58</v>
      </c>
      <c r="B17" s="84"/>
      <c r="C17" s="84"/>
      <c r="D17" s="84"/>
      <c r="E17" s="84"/>
      <c r="F17" s="77"/>
      <c r="G17" s="93"/>
      <c r="H17" s="96">
        <f>SUM('2021'!P55)</f>
        <v>0</v>
      </c>
      <c r="I17" s="97">
        <f>SUM('2021'!Q55)</f>
        <v>40000</v>
      </c>
      <c r="J17" s="94">
        <f>SUM('2022'!P59)</f>
        <v>0</v>
      </c>
      <c r="K17" s="97">
        <f>SUM('2022'!Q59)</f>
        <v>10000</v>
      </c>
      <c r="L17" s="91"/>
      <c r="M17" s="91"/>
      <c r="N17" s="98"/>
      <c r="O17" s="98"/>
      <c r="P17" s="98"/>
      <c r="Q17" s="98"/>
      <c r="R17" s="99">
        <f t="shared" si="0"/>
        <v>0</v>
      </c>
      <c r="S17" s="99">
        <f t="shared" si="0"/>
        <v>50000</v>
      </c>
    </row>
    <row r="18" spans="1:19" ht="15">
      <c r="A18" s="82" t="s">
        <v>90</v>
      </c>
      <c r="B18" s="83">
        <f>SUM(B4:B17)</f>
        <v>10114.586562499999</v>
      </c>
      <c r="C18" s="83">
        <f>SUM(C4:C17)</f>
        <v>32366.677</v>
      </c>
      <c r="D18" s="83">
        <f t="shared" ref="D18:S18" si="4">SUM(D4:D17)</f>
        <v>308334.40406249993</v>
      </c>
      <c r="E18" s="83">
        <f t="shared" si="4"/>
        <v>1086688.0180000002</v>
      </c>
      <c r="F18" s="83">
        <f t="shared" si="4"/>
        <v>422075.55499999993</v>
      </c>
      <c r="G18" s="100">
        <f t="shared" si="4"/>
        <v>1103527.7819999999</v>
      </c>
      <c r="H18" s="100">
        <f t="shared" si="4"/>
        <v>169397.7228125</v>
      </c>
      <c r="I18" s="100">
        <f t="shared" si="4"/>
        <v>796102.61100000003</v>
      </c>
      <c r="J18" s="100">
        <f t="shared" si="4"/>
        <v>382820.36600000004</v>
      </c>
      <c r="K18" s="100">
        <f t="shared" si="4"/>
        <v>1575926.797</v>
      </c>
      <c r="L18" s="100">
        <f t="shared" si="4"/>
        <v>447249.85</v>
      </c>
      <c r="M18" s="100">
        <f t="shared" si="4"/>
        <v>1681742.7459999998</v>
      </c>
      <c r="N18" s="100">
        <f t="shared" si="4"/>
        <v>438187</v>
      </c>
      <c r="O18" s="100">
        <f t="shared" si="4"/>
        <v>1443899.2440000002</v>
      </c>
      <c r="P18" s="100">
        <f t="shared" si="4"/>
        <v>181857.60864910507</v>
      </c>
      <c r="Q18" s="100">
        <f t="shared" si="4"/>
        <v>596457.73499999999</v>
      </c>
      <c r="R18" s="100">
        <f t="shared" si="4"/>
        <v>2360037.093086605</v>
      </c>
      <c r="S18" s="100">
        <f t="shared" si="4"/>
        <v>8316711.6099999994</v>
      </c>
    </row>
  </sheetData>
  <autoFilter ref="A1:A18"/>
  <mergeCells count="9">
    <mergeCell ref="L2:M2"/>
    <mergeCell ref="N2:O2"/>
    <mergeCell ref="P2:Q2"/>
    <mergeCell ref="R2:S2"/>
    <mergeCell ref="B2:C2"/>
    <mergeCell ref="D2:E2"/>
    <mergeCell ref="F2:G2"/>
    <mergeCell ref="H2:I2"/>
    <mergeCell ref="J2:K2"/>
  </mergeCells>
  <pageMargins left="0.7" right="0.7" top="0.75" bottom="0.75" header="0.3" footer="0.3"/>
  <pageSetup paperSize="9" orientation="portrait" verticalDpi="360" r:id="rId1"/>
  <ignoredErrors>
    <ignoredError sqref="R1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topLeftCell="A7" zoomScale="106" zoomScaleNormal="106" workbookViewId="0">
      <selection activeCell="J18" sqref="J18:J24"/>
    </sheetView>
  </sheetViews>
  <sheetFormatPr baseColWidth="10" defaultColWidth="11" defaultRowHeight="13.5"/>
  <cols>
    <col min="1" max="1" width="25.5" customWidth="1"/>
    <col min="2" max="2" width="16.5" customWidth="1"/>
    <col min="3" max="3" width="19" customWidth="1"/>
    <col min="4" max="4" width="18.625" customWidth="1"/>
    <col min="5" max="5" width="17.375" customWidth="1"/>
    <col min="6" max="7" width="15.375" customWidth="1"/>
    <col min="8" max="8" width="16" customWidth="1"/>
    <col min="9" max="9" width="17.125" customWidth="1"/>
    <col min="10" max="10" width="19.125" customWidth="1"/>
    <col min="11" max="13" width="18" customWidth="1"/>
    <col min="14" max="14" width="17" customWidth="1"/>
    <col min="15" max="15" width="19.625" customWidth="1"/>
  </cols>
  <sheetData>
    <row r="1" spans="1:15" ht="63.6" customHeight="1">
      <c r="A1" s="2" t="s">
        <v>76</v>
      </c>
    </row>
    <row r="2" spans="1:15" ht="16.5">
      <c r="A2" s="3"/>
      <c r="B2" s="180" t="s">
        <v>1</v>
      </c>
      <c r="C2" s="181"/>
      <c r="D2" s="182" t="s">
        <v>2</v>
      </c>
      <c r="E2" s="183"/>
      <c r="F2" s="184" t="s">
        <v>77</v>
      </c>
      <c r="G2" s="185"/>
      <c r="H2" s="186" t="s">
        <v>4</v>
      </c>
      <c r="I2" s="187"/>
      <c r="J2" s="188" t="s">
        <v>5</v>
      </c>
      <c r="K2" s="189"/>
      <c r="L2" s="190" t="s">
        <v>3</v>
      </c>
      <c r="M2" s="191"/>
      <c r="N2" s="178" t="s">
        <v>95</v>
      </c>
      <c r="O2" s="179"/>
    </row>
    <row r="3" spans="1:15">
      <c r="A3" s="4"/>
      <c r="B3" s="5" t="s">
        <v>6</v>
      </c>
      <c r="C3" s="6" t="s">
        <v>7</v>
      </c>
      <c r="D3" s="36" t="s">
        <v>6</v>
      </c>
      <c r="E3" s="39" t="s">
        <v>7</v>
      </c>
      <c r="F3" s="5" t="s">
        <v>6</v>
      </c>
      <c r="G3" s="6" t="s">
        <v>7</v>
      </c>
      <c r="H3" s="36" t="s">
        <v>6</v>
      </c>
      <c r="I3" s="39" t="s">
        <v>7</v>
      </c>
      <c r="J3" s="5" t="s">
        <v>6</v>
      </c>
      <c r="K3" s="6" t="s">
        <v>7</v>
      </c>
      <c r="L3" s="5" t="s">
        <v>6</v>
      </c>
      <c r="M3" s="6" t="s">
        <v>7</v>
      </c>
      <c r="N3" s="5" t="s">
        <v>6</v>
      </c>
      <c r="O3" s="6" t="s">
        <v>7</v>
      </c>
    </row>
    <row r="4" spans="1:15" ht="15">
      <c r="A4" s="7">
        <v>45658</v>
      </c>
      <c r="B4" s="8"/>
      <c r="C4" s="9"/>
      <c r="D4" s="37"/>
      <c r="E4" s="40"/>
      <c r="F4" s="8"/>
      <c r="G4" s="9"/>
      <c r="H4" s="37"/>
      <c r="I4" s="40"/>
      <c r="J4" s="8"/>
      <c r="K4" s="9"/>
      <c r="L4" s="8"/>
      <c r="M4" s="9"/>
      <c r="N4" s="8"/>
      <c r="O4" s="9"/>
    </row>
    <row r="5" spans="1:15">
      <c r="A5" s="13"/>
      <c r="B5" s="131"/>
      <c r="C5" s="132"/>
      <c r="D5" s="133"/>
      <c r="E5" s="134"/>
      <c r="F5" s="131"/>
      <c r="G5" s="132"/>
      <c r="H5" s="133"/>
      <c r="I5" s="134"/>
      <c r="J5" s="70"/>
      <c r="K5" s="135"/>
      <c r="L5" s="136"/>
      <c r="M5" s="135"/>
      <c r="N5" s="70">
        <f>SUM(J5,H5,F5,D5)</f>
        <v>0</v>
      </c>
      <c r="O5" s="126">
        <f>SUM(K5,I5,G5,E5)</f>
        <v>0</v>
      </c>
    </row>
    <row r="6" spans="1:15" ht="15">
      <c r="A6" s="7">
        <v>45689</v>
      </c>
      <c r="B6" s="137"/>
      <c r="C6" s="138"/>
      <c r="D6" s="139"/>
      <c r="E6" s="140"/>
      <c r="F6" s="137"/>
      <c r="G6" s="138"/>
      <c r="H6" s="139"/>
      <c r="I6" s="140"/>
      <c r="J6" s="137"/>
      <c r="K6" s="141"/>
      <c r="L6" s="142"/>
      <c r="M6" s="141"/>
      <c r="N6" s="137"/>
      <c r="O6" s="141"/>
    </row>
    <row r="7" spans="1:15">
      <c r="A7" s="13"/>
      <c r="B7" s="143"/>
      <c r="C7" s="144"/>
      <c r="D7" s="145"/>
      <c r="E7" s="146"/>
      <c r="F7" s="143"/>
      <c r="G7" s="144"/>
      <c r="H7" s="145"/>
      <c r="I7" s="147"/>
      <c r="J7" s="143"/>
      <c r="K7" s="135"/>
      <c r="L7" s="143"/>
      <c r="M7" s="135"/>
      <c r="N7" s="143"/>
      <c r="O7" s="135"/>
    </row>
    <row r="8" spans="1:15">
      <c r="A8" s="13"/>
      <c r="B8" s="143"/>
      <c r="C8" s="144"/>
      <c r="D8" s="145"/>
      <c r="E8" s="147"/>
      <c r="F8" s="143"/>
      <c r="G8" s="144"/>
      <c r="H8" s="145"/>
      <c r="I8" s="147"/>
      <c r="J8" s="64"/>
      <c r="K8" s="135"/>
      <c r="L8" s="64"/>
      <c r="M8" s="135"/>
      <c r="N8" s="64">
        <f>J8+J7+H8+H7+F8+F7+D8++D7+B8+B7</f>
        <v>0</v>
      </c>
      <c r="O8" s="126">
        <f>K8+K7+I8+I7+G8+G7+E8++E7+C8+C7</f>
        <v>0</v>
      </c>
    </row>
    <row r="9" spans="1:15" ht="15">
      <c r="A9" s="7">
        <v>45717</v>
      </c>
      <c r="B9" s="139"/>
      <c r="C9" s="138"/>
      <c r="D9" s="139"/>
      <c r="E9" s="140"/>
      <c r="F9" s="137"/>
      <c r="G9" s="138"/>
      <c r="H9" s="139"/>
      <c r="I9" s="140"/>
      <c r="J9" s="137"/>
      <c r="K9" s="141"/>
      <c r="L9" s="142"/>
      <c r="M9" s="141"/>
      <c r="N9" s="137"/>
      <c r="O9" s="141"/>
    </row>
    <row r="10" spans="1:15">
      <c r="A10" s="13">
        <v>45719</v>
      </c>
      <c r="B10" s="64">
        <f>SUM(C10/3.31595)</f>
        <v>1220.3079057283735</v>
      </c>
      <c r="C10" s="148">
        <v>4046.48</v>
      </c>
      <c r="D10" s="145"/>
      <c r="E10" s="147"/>
      <c r="F10" s="143"/>
      <c r="G10" s="144"/>
      <c r="H10" s="145"/>
      <c r="I10" s="147"/>
      <c r="J10" s="143"/>
      <c r="K10" s="135"/>
      <c r="L10" s="143"/>
      <c r="M10" s="144"/>
      <c r="N10" s="143"/>
      <c r="O10" s="144"/>
    </row>
    <row r="11" spans="1:15">
      <c r="A11" s="13">
        <v>45730</v>
      </c>
      <c r="B11" s="64">
        <f>SUM(C11/3.31595)</f>
        <v>345.30074337670953</v>
      </c>
      <c r="C11" s="148">
        <v>1145</v>
      </c>
      <c r="D11" s="145"/>
      <c r="E11" s="147"/>
      <c r="F11" s="143"/>
      <c r="G11" s="144"/>
      <c r="H11" s="151">
        <v>5000</v>
      </c>
      <c r="I11" s="149">
        <v>16159</v>
      </c>
      <c r="J11" s="143"/>
      <c r="K11" s="135"/>
      <c r="L11" s="150"/>
      <c r="M11" s="148"/>
      <c r="N11" s="150"/>
      <c r="O11" s="148"/>
    </row>
    <row r="12" spans="1:15">
      <c r="A12" s="13">
        <v>45735</v>
      </c>
      <c r="B12" s="131"/>
      <c r="C12" s="132"/>
      <c r="D12" s="133"/>
      <c r="E12" s="134"/>
      <c r="F12" s="151">
        <v>10000</v>
      </c>
      <c r="G12" s="148">
        <v>32539</v>
      </c>
      <c r="H12" s="133"/>
      <c r="I12" s="134"/>
      <c r="J12" s="70"/>
      <c r="K12" s="135"/>
      <c r="L12" s="131"/>
      <c r="M12" s="132"/>
      <c r="N12" s="131">
        <f>J12+J11+J10+H12+H11+H10+F12+F11+F10+D12+D11+D10+B12+B11+B10</f>
        <v>16565.608649105081</v>
      </c>
      <c r="O12" s="132">
        <f>K12+K11+K10+I12+I11+I10+G12+G11+G10+E12+E11+E10+C12+C11+C10</f>
        <v>53889.48</v>
      </c>
    </row>
    <row r="13" spans="1:15" ht="15">
      <c r="A13" s="7">
        <v>45748</v>
      </c>
      <c r="B13" s="137"/>
      <c r="C13" s="138"/>
      <c r="D13" s="139"/>
      <c r="E13" s="140"/>
      <c r="F13" s="137"/>
      <c r="G13" s="138"/>
      <c r="H13" s="139"/>
      <c r="I13" s="140"/>
      <c r="J13" s="137"/>
      <c r="K13" s="141"/>
      <c r="L13" s="142"/>
      <c r="M13" s="141"/>
      <c r="N13" s="137"/>
      <c r="O13" s="141"/>
    </row>
    <row r="14" spans="1:15">
      <c r="A14" s="13">
        <v>45750</v>
      </c>
      <c r="B14" s="64"/>
      <c r="C14" s="144"/>
      <c r="D14" s="145"/>
      <c r="E14" s="147"/>
      <c r="F14" s="143"/>
      <c r="G14" s="144"/>
      <c r="H14" s="152">
        <v>25000</v>
      </c>
      <c r="I14" s="149">
        <v>81247</v>
      </c>
      <c r="J14" s="143"/>
      <c r="K14" s="135"/>
      <c r="L14" s="143"/>
      <c r="M14" s="144"/>
      <c r="N14" s="143"/>
      <c r="O14" s="135"/>
    </row>
    <row r="15" spans="1:15">
      <c r="A15" s="13">
        <v>45765</v>
      </c>
      <c r="B15" s="143"/>
      <c r="C15" s="144"/>
      <c r="D15" s="145"/>
      <c r="E15" s="147"/>
      <c r="F15" s="143"/>
      <c r="G15" s="144"/>
      <c r="H15" s="145"/>
      <c r="I15" s="149"/>
      <c r="J15" s="143"/>
      <c r="K15" s="135"/>
      <c r="L15" s="150">
        <v>10000</v>
      </c>
      <c r="M15" s="148">
        <v>33011</v>
      </c>
      <c r="N15" s="143"/>
      <c r="O15" s="135"/>
    </row>
    <row r="16" spans="1:15">
      <c r="A16" s="13">
        <v>45768</v>
      </c>
      <c r="B16" s="131"/>
      <c r="C16" s="132"/>
      <c r="D16" s="133"/>
      <c r="E16" s="134"/>
      <c r="F16" s="131"/>
      <c r="G16" s="132"/>
      <c r="H16" s="152">
        <v>20000</v>
      </c>
      <c r="I16" s="149">
        <v>66268</v>
      </c>
      <c r="J16" s="70"/>
      <c r="K16" s="135"/>
      <c r="L16" s="131"/>
      <c r="M16" s="132"/>
      <c r="N16" s="70">
        <f>J16+J15+J14+H16+H15+H14+F16+F15+F14+D16+D15+D14+B16+B15+B14+L15</f>
        <v>55000</v>
      </c>
      <c r="O16" s="126">
        <f>K16+K15+K14+I16+I15+I14+G16+G15+G14+E16+E15+E14+C16+C15+C14+M15</f>
        <v>180526</v>
      </c>
    </row>
    <row r="17" spans="1:15" ht="15">
      <c r="A17" s="7">
        <v>45778</v>
      </c>
      <c r="B17" s="137"/>
      <c r="C17" s="138"/>
      <c r="D17" s="139"/>
      <c r="E17" s="140"/>
      <c r="F17" s="137"/>
      <c r="G17" s="138"/>
      <c r="H17" s="139"/>
      <c r="I17" s="140"/>
      <c r="J17" s="137"/>
      <c r="K17" s="141"/>
      <c r="L17" s="142"/>
      <c r="M17" s="141"/>
      <c r="N17" s="137"/>
      <c r="O17" s="141"/>
    </row>
    <row r="18" spans="1:15">
      <c r="A18" s="13">
        <v>45783</v>
      </c>
      <c r="B18" s="143"/>
      <c r="C18" s="144"/>
      <c r="D18" s="145"/>
      <c r="E18" s="145"/>
      <c r="F18" s="143"/>
      <c r="G18" s="144"/>
      <c r="H18" s="145"/>
      <c r="I18" s="147"/>
      <c r="J18" s="136">
        <v>15000</v>
      </c>
      <c r="K18" s="135">
        <v>49651.5</v>
      </c>
      <c r="L18" s="143"/>
      <c r="M18" s="144"/>
      <c r="N18" s="143"/>
      <c r="O18" s="135"/>
    </row>
    <row r="19" spans="1:15">
      <c r="A19" s="13">
        <v>45791</v>
      </c>
      <c r="B19" s="143"/>
      <c r="C19" s="144"/>
      <c r="D19" s="145"/>
      <c r="E19" s="145"/>
      <c r="F19" s="143"/>
      <c r="G19" s="144"/>
      <c r="H19" s="145"/>
      <c r="I19" s="147"/>
      <c r="J19" s="136">
        <v>15000</v>
      </c>
      <c r="K19" s="135">
        <v>49318.5</v>
      </c>
      <c r="L19" s="150"/>
      <c r="M19" s="148"/>
      <c r="N19" s="143"/>
      <c r="O19" s="135"/>
    </row>
    <row r="20" spans="1:15">
      <c r="A20" s="13">
        <v>45793</v>
      </c>
      <c r="B20" s="131"/>
      <c r="C20" s="132"/>
      <c r="D20" s="133"/>
      <c r="E20" s="133"/>
      <c r="F20" s="151">
        <v>20000</v>
      </c>
      <c r="G20" s="148">
        <v>64919.025000000001</v>
      </c>
      <c r="H20" s="133"/>
      <c r="I20" s="134"/>
      <c r="J20" s="136"/>
      <c r="K20" s="135"/>
      <c r="L20" s="131">
        <v>10000</v>
      </c>
      <c r="M20" s="132">
        <v>32493.025000000001</v>
      </c>
      <c r="N20" s="70">
        <f>J20+J19+J18+H20+H19+H18+F20+F19+F18+D20+D19+D18+B20+B19+B18+L18+L19+L20+J21</f>
        <v>70292</v>
      </c>
      <c r="O20" s="126">
        <f>K20+K19+K18+I20+I19+I18+G20+G19+G18+E20+E19+E18+C20+C19+C18+M18+M19+M20+K21</f>
        <v>230120.255</v>
      </c>
    </row>
    <row r="21" spans="1:15">
      <c r="A21" s="13">
        <v>45799</v>
      </c>
      <c r="B21" s="131"/>
      <c r="C21" s="132"/>
      <c r="D21" s="133"/>
      <c r="E21" s="153"/>
      <c r="F21" s="154"/>
      <c r="G21" s="155"/>
      <c r="H21" s="133"/>
      <c r="I21" s="134"/>
      <c r="J21" s="136">
        <v>10292</v>
      </c>
      <c r="K21" s="135">
        <v>33738.205000000002</v>
      </c>
      <c r="L21" s="143"/>
      <c r="M21" s="144"/>
      <c r="N21" s="70"/>
      <c r="O21" s="126"/>
    </row>
    <row r="22" spans="1:15" ht="15">
      <c r="A22" s="7">
        <v>45809</v>
      </c>
      <c r="B22" s="137"/>
      <c r="C22" s="138"/>
      <c r="D22" s="139"/>
      <c r="E22" s="140"/>
      <c r="F22" s="137"/>
      <c r="G22" s="138"/>
      <c r="H22" s="139"/>
      <c r="I22" s="140"/>
      <c r="J22" s="137"/>
      <c r="K22" s="141"/>
      <c r="L22" s="142"/>
      <c r="M22" s="141"/>
      <c r="N22" s="137"/>
      <c r="O22" s="141"/>
    </row>
    <row r="23" spans="1:15">
      <c r="A23" s="13">
        <v>45811</v>
      </c>
      <c r="B23" s="64"/>
      <c r="C23" s="144"/>
      <c r="D23" s="145"/>
      <c r="E23" s="147"/>
      <c r="F23" s="143"/>
      <c r="G23" s="144"/>
      <c r="H23" s="145"/>
      <c r="I23" s="147"/>
      <c r="J23" s="143">
        <v>20000</v>
      </c>
      <c r="K23" s="135">
        <v>65758</v>
      </c>
      <c r="L23" s="136"/>
      <c r="M23" s="135"/>
      <c r="N23" s="143"/>
      <c r="O23" s="135"/>
    </row>
    <row r="24" spans="1:15">
      <c r="A24" s="13">
        <v>45819</v>
      </c>
      <c r="B24" s="64"/>
      <c r="C24" s="144"/>
      <c r="D24" s="145"/>
      <c r="E24" s="147"/>
      <c r="F24" s="143"/>
      <c r="G24" s="144"/>
      <c r="H24" s="145"/>
      <c r="I24" s="147"/>
      <c r="J24" s="143">
        <v>20000</v>
      </c>
      <c r="K24" s="135">
        <v>66164</v>
      </c>
      <c r="L24" s="136"/>
      <c r="M24" s="135"/>
      <c r="N24" s="143"/>
      <c r="O24" s="135"/>
    </row>
    <row r="25" spans="1:15">
      <c r="A25" s="13"/>
      <c r="B25" s="143"/>
      <c r="C25" s="144"/>
      <c r="D25" s="145"/>
      <c r="E25" s="147"/>
      <c r="F25" s="143"/>
      <c r="G25" s="144"/>
      <c r="H25" s="145"/>
      <c r="I25" s="149"/>
      <c r="J25" s="143"/>
      <c r="K25" s="135"/>
      <c r="L25" s="136"/>
      <c r="M25" s="135"/>
      <c r="N25" s="70">
        <f>J25+J24+J23+H25+H24+H23+F25+F24+F23+D25+D24+D23+B25+B24+B23</f>
        <v>40000</v>
      </c>
      <c r="O25" s="126">
        <f>K25+K24+K23+I25+I24+I23+G25+G24+G23+E25+E24+E23+C25+C24+C23</f>
        <v>131922</v>
      </c>
    </row>
    <row r="26" spans="1:15" ht="15">
      <c r="A26" s="7">
        <v>45839</v>
      </c>
      <c r="B26" s="137"/>
      <c r="C26" s="138"/>
      <c r="D26" s="139"/>
      <c r="E26" s="140"/>
      <c r="F26" s="137"/>
      <c r="G26" s="138"/>
      <c r="H26" s="139"/>
      <c r="I26" s="140"/>
      <c r="J26" s="137"/>
      <c r="K26" s="141"/>
      <c r="L26" s="142"/>
      <c r="M26" s="141"/>
      <c r="N26" s="137"/>
      <c r="O26" s="141"/>
    </row>
    <row r="27" spans="1:15">
      <c r="A27" s="13"/>
      <c r="B27" s="143"/>
      <c r="C27" s="144"/>
      <c r="D27" s="145"/>
      <c r="E27" s="147"/>
      <c r="F27" s="143"/>
      <c r="G27" s="144"/>
      <c r="H27" s="145"/>
      <c r="I27" s="147"/>
      <c r="J27" s="64"/>
      <c r="K27" s="135"/>
      <c r="L27" s="136"/>
      <c r="M27" s="135"/>
      <c r="N27" s="64"/>
      <c r="O27" s="135"/>
    </row>
    <row r="28" spans="1:15">
      <c r="A28" s="13"/>
      <c r="B28" s="143"/>
      <c r="C28" s="144"/>
      <c r="D28" s="145"/>
      <c r="E28" s="147"/>
      <c r="F28" s="143"/>
      <c r="G28" s="144"/>
      <c r="H28" s="145"/>
      <c r="I28" s="147"/>
      <c r="J28" s="64"/>
      <c r="K28" s="135"/>
      <c r="L28" s="136"/>
      <c r="M28" s="135"/>
      <c r="N28" s="64"/>
      <c r="O28" s="135"/>
    </row>
    <row r="29" spans="1:15">
      <c r="A29" s="13"/>
      <c r="B29" s="143"/>
      <c r="C29" s="144"/>
      <c r="D29" s="145"/>
      <c r="E29" s="147"/>
      <c r="F29" s="143"/>
      <c r="G29" s="144"/>
      <c r="H29" s="145"/>
      <c r="I29" s="147"/>
      <c r="J29" s="143"/>
      <c r="K29" s="148"/>
      <c r="L29" s="156"/>
      <c r="M29" s="148"/>
      <c r="N29" s="70">
        <f>J29+J28+J27+H29+H28+H27+F29+F28+F27+D29+D28+D27+B29+B28+B27</f>
        <v>0</v>
      </c>
      <c r="O29" s="126">
        <f>K29+K28+K27+I29+I28+I27+G29+G28+G27+E29+E28+E27+C29+C28+C27</f>
        <v>0</v>
      </c>
    </row>
    <row r="30" spans="1:15" ht="15">
      <c r="A30" s="7">
        <v>45870</v>
      </c>
      <c r="B30" s="137"/>
      <c r="C30" s="138"/>
      <c r="D30" s="139"/>
      <c r="E30" s="140"/>
      <c r="F30" s="137"/>
      <c r="G30" s="138"/>
      <c r="H30" s="139"/>
      <c r="I30" s="140"/>
      <c r="J30" s="137"/>
      <c r="K30" s="141"/>
      <c r="L30" s="142"/>
      <c r="M30" s="141"/>
      <c r="N30" s="137"/>
      <c r="O30" s="141"/>
    </row>
    <row r="31" spans="1:15">
      <c r="A31" s="13"/>
      <c r="B31" s="64"/>
      <c r="C31" s="157"/>
      <c r="D31" s="66"/>
      <c r="E31" s="158"/>
      <c r="F31" s="64"/>
      <c r="G31" s="159"/>
      <c r="H31" s="66"/>
      <c r="I31" s="158"/>
      <c r="J31" s="64"/>
      <c r="K31" s="159"/>
      <c r="L31" s="160"/>
      <c r="M31" s="159"/>
      <c r="N31" s="64"/>
      <c r="O31" s="159"/>
    </row>
    <row r="32" spans="1:15">
      <c r="A32" s="13"/>
      <c r="B32" s="143"/>
      <c r="C32" s="144"/>
      <c r="D32" s="145"/>
      <c r="E32" s="147"/>
      <c r="F32" s="143"/>
      <c r="G32" s="144"/>
      <c r="H32" s="145"/>
      <c r="I32" s="147"/>
      <c r="J32" s="64"/>
      <c r="K32" s="148"/>
      <c r="L32" s="156"/>
      <c r="M32" s="148"/>
      <c r="N32" s="64"/>
      <c r="O32" s="148"/>
    </row>
    <row r="33" spans="1:15">
      <c r="A33" s="13"/>
      <c r="B33" s="143"/>
      <c r="C33" s="144"/>
      <c r="D33" s="145"/>
      <c r="E33" s="147"/>
      <c r="F33" s="143"/>
      <c r="G33" s="144"/>
      <c r="H33" s="145"/>
      <c r="I33" s="149"/>
      <c r="J33" s="143"/>
      <c r="K33" s="148"/>
      <c r="L33" s="156"/>
      <c r="M33" s="148"/>
      <c r="N33" s="70">
        <f>J33+J32+J31+H33+H32+H31+F33+F32+F31+D33+D32+D31+B33+B32+B31</f>
        <v>0</v>
      </c>
      <c r="O33" s="126">
        <f>K33+K32+K31+I33+I32+I31+G33+G32+G31+E33+E32+E31+C33+C32+C31</f>
        <v>0</v>
      </c>
    </row>
    <row r="34" spans="1:15" ht="15">
      <c r="A34" s="7">
        <v>45901</v>
      </c>
      <c r="B34" s="137"/>
      <c r="C34" s="138"/>
      <c r="D34" s="139"/>
      <c r="E34" s="140"/>
      <c r="F34" s="137"/>
      <c r="G34" s="138"/>
      <c r="H34" s="139"/>
      <c r="I34" s="140"/>
      <c r="J34" s="137"/>
      <c r="K34" s="141"/>
      <c r="L34" s="142"/>
      <c r="M34" s="141"/>
      <c r="N34" s="137"/>
      <c r="O34" s="141"/>
    </row>
    <row r="35" spans="1:15">
      <c r="A35" s="13"/>
      <c r="B35" s="64"/>
      <c r="C35" s="144"/>
      <c r="D35" s="145"/>
      <c r="E35" s="147"/>
      <c r="F35" s="143"/>
      <c r="G35" s="144"/>
      <c r="H35" s="145"/>
      <c r="I35" s="147"/>
      <c r="J35" s="143"/>
      <c r="K35" s="135"/>
      <c r="L35" s="136"/>
      <c r="M35" s="135"/>
      <c r="N35" s="143"/>
      <c r="O35" s="135"/>
    </row>
    <row r="36" spans="1:15">
      <c r="A36" s="13"/>
      <c r="B36" s="64"/>
      <c r="C36" s="144"/>
      <c r="D36" s="145"/>
      <c r="E36" s="147"/>
      <c r="F36" s="143"/>
      <c r="G36" s="144"/>
      <c r="H36" s="145"/>
      <c r="I36" s="147"/>
      <c r="J36" s="143"/>
      <c r="K36" s="135"/>
      <c r="L36" s="136"/>
      <c r="M36" s="135"/>
      <c r="N36" s="143"/>
      <c r="O36" s="135"/>
    </row>
    <row r="37" spans="1:15">
      <c r="A37" s="13"/>
      <c r="B37" s="64"/>
      <c r="C37" s="157"/>
      <c r="D37" s="66"/>
      <c r="E37" s="158"/>
      <c r="F37" s="64"/>
      <c r="G37" s="157"/>
      <c r="H37" s="66"/>
      <c r="I37" s="158"/>
      <c r="J37" s="64"/>
      <c r="K37" s="159"/>
      <c r="L37" s="160"/>
      <c r="M37" s="159"/>
      <c r="N37" s="70">
        <f>J37+J36+J35+H37+H36+H35+F37+F36+F35+D37+D36+D35+B37+B36+B35</f>
        <v>0</v>
      </c>
      <c r="O37" s="126">
        <f>K37+K36+K35+I37+I36+I35+G37+G36+G35+E37+E36+E35+C37+C36+C35</f>
        <v>0</v>
      </c>
    </row>
    <row r="38" spans="1:15" ht="15" hidden="1" customHeight="1">
      <c r="A38" s="13"/>
      <c r="B38" s="143"/>
      <c r="C38" s="144"/>
      <c r="D38" s="145"/>
      <c r="E38" s="147"/>
      <c r="F38" s="143"/>
      <c r="G38" s="144"/>
      <c r="H38" s="145"/>
      <c r="I38" s="147"/>
      <c r="J38" s="143"/>
      <c r="K38" s="148"/>
      <c r="L38" s="156"/>
      <c r="M38" s="148"/>
      <c r="N38" s="143"/>
      <c r="O38" s="148"/>
    </row>
    <row r="39" spans="1:15" ht="15">
      <c r="A39" s="7">
        <v>45931</v>
      </c>
      <c r="B39" s="137"/>
      <c r="C39" s="138"/>
      <c r="D39" s="139"/>
      <c r="E39" s="140"/>
      <c r="F39" s="137"/>
      <c r="G39" s="138"/>
      <c r="H39" s="139"/>
      <c r="I39" s="140"/>
      <c r="J39" s="137"/>
      <c r="K39" s="141"/>
      <c r="L39" s="142"/>
      <c r="M39" s="141"/>
      <c r="N39" s="137"/>
      <c r="O39" s="141"/>
    </row>
    <row r="40" spans="1:15">
      <c r="A40" s="13"/>
      <c r="B40" s="143"/>
      <c r="C40" s="144"/>
      <c r="D40" s="145"/>
      <c r="E40" s="146"/>
      <c r="F40" s="143"/>
      <c r="G40" s="144"/>
      <c r="H40" s="145"/>
      <c r="I40" s="147"/>
      <c r="J40" s="143"/>
      <c r="K40" s="135"/>
      <c r="L40" s="136"/>
      <c r="M40" s="135"/>
      <c r="N40" s="143"/>
      <c r="O40" s="135"/>
    </row>
    <row r="41" spans="1:15">
      <c r="A41" s="13"/>
      <c r="B41" s="143"/>
      <c r="C41" s="144"/>
      <c r="D41" s="145"/>
      <c r="E41" s="147"/>
      <c r="F41" s="143"/>
      <c r="G41" s="144"/>
      <c r="H41" s="145"/>
      <c r="I41" s="147"/>
      <c r="J41" s="64"/>
      <c r="K41" s="148"/>
      <c r="L41" s="156"/>
      <c r="M41" s="148"/>
      <c r="N41" s="64"/>
      <c r="O41" s="148"/>
    </row>
    <row r="42" spans="1:15">
      <c r="A42" s="13"/>
      <c r="B42" s="143"/>
      <c r="C42" s="144"/>
      <c r="D42" s="145"/>
      <c r="E42" s="147"/>
      <c r="F42" s="143"/>
      <c r="G42" s="144"/>
      <c r="H42" s="145"/>
      <c r="I42" s="147"/>
      <c r="J42" s="143"/>
      <c r="K42" s="148"/>
      <c r="L42" s="156"/>
      <c r="M42" s="148"/>
      <c r="N42" s="70">
        <f>J42+J41+J40+H42+H41+H40+F42+F41+F40+D42+D41+D40+B42+B41+B40</f>
        <v>0</v>
      </c>
      <c r="O42" s="126">
        <f>K42+K41+K40+I42+I41+I40+G42+G41+G40+E42+E41+E40+C42+C41+C40</f>
        <v>0</v>
      </c>
    </row>
    <row r="43" spans="1:15" ht="15">
      <c r="A43" s="7">
        <v>45962</v>
      </c>
      <c r="B43" s="137"/>
      <c r="C43" s="138"/>
      <c r="D43" s="139"/>
      <c r="E43" s="140"/>
      <c r="F43" s="137"/>
      <c r="G43" s="138"/>
      <c r="H43" s="139"/>
      <c r="I43" s="140"/>
      <c r="J43" s="137"/>
      <c r="K43" s="141"/>
      <c r="L43" s="142"/>
      <c r="M43" s="141"/>
      <c r="N43" s="137"/>
      <c r="O43" s="141"/>
    </row>
    <row r="44" spans="1:15" ht="15">
      <c r="A44" s="10"/>
      <c r="B44" s="143"/>
      <c r="C44" s="144"/>
      <c r="D44" s="145"/>
      <c r="E44" s="147"/>
      <c r="F44" s="143"/>
      <c r="G44" s="144"/>
      <c r="H44" s="145"/>
      <c r="I44" s="147"/>
      <c r="J44" s="143"/>
      <c r="K44" s="135"/>
      <c r="L44" s="136"/>
      <c r="M44" s="135"/>
      <c r="N44" s="143"/>
      <c r="O44" s="135"/>
    </row>
    <row r="45" spans="1:15" ht="15">
      <c r="A45" s="10"/>
      <c r="B45" s="143"/>
      <c r="C45" s="144"/>
      <c r="D45" s="145"/>
      <c r="E45" s="147"/>
      <c r="F45" s="143"/>
      <c r="G45" s="144"/>
      <c r="H45" s="145"/>
      <c r="I45" s="147"/>
      <c r="J45" s="143"/>
      <c r="K45" s="135"/>
      <c r="L45" s="136"/>
      <c r="M45" s="135"/>
      <c r="N45" s="143"/>
      <c r="O45" s="135"/>
    </row>
    <row r="46" spans="1:15">
      <c r="A46" s="13"/>
      <c r="B46" s="64"/>
      <c r="C46" s="157"/>
      <c r="D46" s="66"/>
      <c r="E46" s="149"/>
      <c r="F46" s="143"/>
      <c r="G46" s="144"/>
      <c r="H46" s="145"/>
      <c r="I46" s="147"/>
      <c r="J46" s="143"/>
      <c r="K46" s="148"/>
      <c r="L46" s="156"/>
      <c r="M46" s="148"/>
      <c r="N46" s="70">
        <f>J46+J45+J44+H46+H45+H44+F46+F45+F44+D46+D45+D44+B46+B45+B44</f>
        <v>0</v>
      </c>
      <c r="O46" s="126">
        <f>K46+K45+K44+I46+I45+I44+G46+G45+G44+E46+E45+E44+C46+C45+C44</f>
        <v>0</v>
      </c>
    </row>
    <row r="47" spans="1:15" ht="15">
      <c r="A47" s="7">
        <v>45992</v>
      </c>
      <c r="B47" s="137"/>
      <c r="C47" s="138"/>
      <c r="D47" s="139"/>
      <c r="E47" s="140"/>
      <c r="F47" s="137"/>
      <c r="G47" s="138"/>
      <c r="H47" s="139"/>
      <c r="I47" s="140"/>
      <c r="J47" s="137"/>
      <c r="K47" s="138"/>
      <c r="L47" s="137"/>
      <c r="M47" s="138"/>
      <c r="N47" s="137"/>
      <c r="O47" s="138"/>
    </row>
    <row r="48" spans="1:15" ht="15">
      <c r="A48" s="10"/>
      <c r="B48" s="143"/>
      <c r="C48" s="144"/>
      <c r="D48" s="145"/>
      <c r="E48" s="147"/>
      <c r="F48" s="143"/>
      <c r="G48" s="144"/>
      <c r="H48" s="145"/>
      <c r="I48" s="147"/>
      <c r="J48" s="143"/>
      <c r="K48" s="144"/>
      <c r="L48" s="143"/>
      <c r="M48" s="144"/>
      <c r="N48" s="143"/>
      <c r="O48" s="144"/>
    </row>
    <row r="49" spans="1:15">
      <c r="A49" s="13"/>
      <c r="B49" s="143"/>
      <c r="C49" s="144"/>
      <c r="D49" s="145"/>
      <c r="E49" s="147"/>
      <c r="F49" s="143"/>
      <c r="G49" s="144"/>
      <c r="H49" s="66"/>
      <c r="I49" s="147"/>
      <c r="J49" s="143"/>
      <c r="K49" s="144"/>
      <c r="L49" s="143"/>
      <c r="M49" s="144"/>
      <c r="N49" s="143"/>
      <c r="O49" s="144"/>
    </row>
    <row r="50" spans="1:15">
      <c r="A50" s="41"/>
      <c r="B50" s="143"/>
      <c r="C50" s="144"/>
      <c r="D50" s="145"/>
      <c r="E50" s="147"/>
      <c r="F50" s="143"/>
      <c r="G50" s="144"/>
      <c r="H50" s="145"/>
      <c r="I50" s="147"/>
      <c r="J50" s="143"/>
      <c r="K50" s="144"/>
      <c r="L50" s="143"/>
      <c r="M50" s="144"/>
      <c r="N50" s="70">
        <f>J50+J49+J48+H50+H49+H48+F50+F49+F48+D50+D49+D48+B50+B49+B48</f>
        <v>0</v>
      </c>
      <c r="O50" s="126">
        <f>K50+K49+K48+I50+I49+I48+G50+G49+G48+E50+E49+E48+C50+C49+C48</f>
        <v>0</v>
      </c>
    </row>
    <row r="51" spans="1:15" ht="15.75" thickBot="1">
      <c r="A51" s="20" t="s">
        <v>8</v>
      </c>
      <c r="B51" s="161">
        <f t="shared" ref="B51:K51" si="0">SUM(B4:B50)</f>
        <v>1565.608649105083</v>
      </c>
      <c r="C51" s="162">
        <f>SUM(C10:C50)</f>
        <v>5191.4799999999996</v>
      </c>
      <c r="D51" s="163">
        <f t="shared" si="0"/>
        <v>0</v>
      </c>
      <c r="E51" s="164">
        <f t="shared" si="0"/>
        <v>0</v>
      </c>
      <c r="F51" s="165">
        <f t="shared" si="0"/>
        <v>30000</v>
      </c>
      <c r="G51" s="166">
        <f t="shared" si="0"/>
        <v>97458.024999999994</v>
      </c>
      <c r="H51" s="163">
        <f t="shared" si="0"/>
        <v>50000</v>
      </c>
      <c r="I51" s="164">
        <f t="shared" si="0"/>
        <v>163674</v>
      </c>
      <c r="J51" s="165">
        <f t="shared" si="0"/>
        <v>80292</v>
      </c>
      <c r="K51" s="166">
        <f t="shared" si="0"/>
        <v>264630.20500000002</v>
      </c>
      <c r="L51" s="165">
        <f>SUM(L5:L49)</f>
        <v>20000</v>
      </c>
      <c r="M51" s="166">
        <f>SUM(M5:M50)</f>
        <v>65504.025000000001</v>
      </c>
      <c r="N51" s="165">
        <f>SUM(N4:N50)</f>
        <v>181857.60864910507</v>
      </c>
      <c r="O51" s="166">
        <f>SUM(O4:O50)</f>
        <v>596457.73499999999</v>
      </c>
    </row>
    <row r="52" spans="1:15" s="1" customFormat="1" ht="15">
      <c r="A52" s="23"/>
      <c r="B52" s="30"/>
      <c r="C52" s="30"/>
      <c r="D52" s="128"/>
      <c r="E52" s="129"/>
      <c r="F52" s="129"/>
      <c r="G52" s="129"/>
      <c r="H52" s="129"/>
      <c r="I52" s="129"/>
      <c r="J52" s="129"/>
      <c r="K52" s="129"/>
      <c r="L52" s="129"/>
      <c r="M52" s="129"/>
      <c r="N52" s="130"/>
      <c r="O52" s="130"/>
    </row>
    <row r="53" spans="1:15" ht="15">
      <c r="A53" s="25" t="s">
        <v>9</v>
      </c>
      <c r="B53" s="32">
        <f>B51+D51+F51+H51+J51+L51</f>
        <v>181857.60864910507</v>
      </c>
      <c r="C53" s="32">
        <f>C51+E51+G51+I51+K51+M51</f>
        <v>596457.73499999999</v>
      </c>
      <c r="D53" s="68"/>
      <c r="E53" s="35"/>
      <c r="F53" s="35"/>
      <c r="G53" s="35"/>
      <c r="H53" s="35"/>
      <c r="I53" s="35"/>
      <c r="J53" s="35"/>
      <c r="K53" s="35"/>
      <c r="L53" s="35"/>
      <c r="M53" s="35"/>
    </row>
    <row r="55" spans="1:15" ht="15">
      <c r="A55" s="69" t="s">
        <v>10</v>
      </c>
      <c r="B55" s="176" t="s">
        <v>11</v>
      </c>
      <c r="C55" s="176"/>
      <c r="D55" s="176"/>
      <c r="E55" s="176"/>
      <c r="F55" s="177" t="s">
        <v>12</v>
      </c>
      <c r="G55" s="177"/>
      <c r="H55" s="176" t="s">
        <v>13</v>
      </c>
      <c r="I55" s="176"/>
      <c r="L55" s="127"/>
      <c r="M55" s="127"/>
      <c r="N55" s="127"/>
    </row>
    <row r="56" spans="1:15" ht="80.099999999999994" customHeight="1">
      <c r="A56" s="201" t="s">
        <v>14</v>
      </c>
      <c r="B56" s="194" t="s">
        <v>15</v>
      </c>
      <c r="C56" s="194"/>
      <c r="D56" s="194"/>
      <c r="E56" s="194"/>
      <c r="F56" s="195" t="s">
        <v>16</v>
      </c>
      <c r="G56" s="196"/>
      <c r="H56" s="194" t="s">
        <v>17</v>
      </c>
      <c r="I56" s="194"/>
    </row>
    <row r="57" spans="1:15" ht="80.099999999999994" customHeight="1">
      <c r="A57" s="201"/>
      <c r="B57" s="194"/>
      <c r="C57" s="194"/>
      <c r="D57" s="194"/>
      <c r="E57" s="194"/>
      <c r="F57" s="197"/>
      <c r="G57" s="198"/>
      <c r="H57" s="194"/>
      <c r="I57" s="194"/>
    </row>
    <row r="58" spans="1:15" ht="90" customHeight="1">
      <c r="A58" s="202" t="s">
        <v>18</v>
      </c>
      <c r="B58" s="194" t="s">
        <v>19</v>
      </c>
      <c r="C58" s="194"/>
      <c r="D58" s="194"/>
      <c r="E58" s="194"/>
      <c r="F58" s="195" t="s">
        <v>20</v>
      </c>
      <c r="G58" s="196"/>
      <c r="H58" s="194" t="s">
        <v>21</v>
      </c>
      <c r="I58" s="194"/>
    </row>
    <row r="59" spans="1:15" ht="138" customHeight="1">
      <c r="A59" s="202"/>
      <c r="B59" s="194"/>
      <c r="C59" s="194"/>
      <c r="D59" s="194"/>
      <c r="E59" s="194"/>
      <c r="F59" s="197"/>
      <c r="G59" s="198"/>
      <c r="H59" s="194"/>
      <c r="I59" s="194"/>
    </row>
    <row r="60" spans="1:15" ht="80.099999999999994" customHeight="1">
      <c r="A60" s="199" t="s">
        <v>79</v>
      </c>
      <c r="B60" s="194" t="s">
        <v>26</v>
      </c>
      <c r="C60" s="194"/>
      <c r="D60" s="194"/>
      <c r="E60" s="194"/>
      <c r="F60" s="195" t="s">
        <v>27</v>
      </c>
      <c r="G60" s="196"/>
      <c r="H60" s="194" t="s">
        <v>17</v>
      </c>
      <c r="I60" s="194"/>
    </row>
    <row r="61" spans="1:15" ht="80.099999999999994" customHeight="1">
      <c r="A61" s="200"/>
      <c r="B61" s="194"/>
      <c r="C61" s="194"/>
      <c r="D61" s="194"/>
      <c r="E61" s="194"/>
      <c r="F61" s="197"/>
      <c r="G61" s="198"/>
      <c r="H61" s="194"/>
      <c r="I61" s="194"/>
    </row>
    <row r="62" spans="1:15" ht="80.099999999999994" customHeight="1">
      <c r="A62" s="192" t="s">
        <v>28</v>
      </c>
      <c r="B62" s="194" t="s">
        <v>29</v>
      </c>
      <c r="C62" s="194"/>
      <c r="D62" s="194"/>
      <c r="E62" s="194"/>
      <c r="F62" s="195" t="s">
        <v>30</v>
      </c>
      <c r="G62" s="196"/>
      <c r="H62" s="194" t="s">
        <v>17</v>
      </c>
      <c r="I62" s="194"/>
    </row>
    <row r="63" spans="1:15" ht="80.099999999999994" customHeight="1">
      <c r="A63" s="193"/>
      <c r="B63" s="194"/>
      <c r="C63" s="194"/>
      <c r="D63" s="194"/>
      <c r="E63" s="194"/>
      <c r="F63" s="197"/>
      <c r="G63" s="198"/>
      <c r="H63" s="194"/>
      <c r="I63" s="194"/>
    </row>
    <row r="64" spans="1:15" ht="175.5" customHeight="1">
      <c r="A64" s="71" t="s">
        <v>80</v>
      </c>
      <c r="B64" s="194" t="s">
        <v>78</v>
      </c>
      <c r="C64" s="194"/>
      <c r="D64" s="194"/>
      <c r="E64" s="194"/>
      <c r="F64" s="205" t="s">
        <v>45</v>
      </c>
      <c r="G64" s="194"/>
      <c r="H64" s="194" t="s">
        <v>17</v>
      </c>
      <c r="I64" s="194"/>
    </row>
    <row r="65" spans="1:9">
      <c r="A65" s="203" t="s">
        <v>22</v>
      </c>
      <c r="B65" s="194" t="s">
        <v>23</v>
      </c>
      <c r="C65" s="194"/>
      <c r="D65" s="194"/>
      <c r="E65" s="194"/>
      <c r="F65" s="194" t="s">
        <v>24</v>
      </c>
      <c r="G65" s="194"/>
      <c r="H65" s="194" t="s">
        <v>17</v>
      </c>
      <c r="I65" s="194"/>
    </row>
    <row r="66" spans="1:9" ht="58.5" customHeight="1">
      <c r="A66" s="204"/>
      <c r="B66" s="194"/>
      <c r="C66" s="194"/>
      <c r="D66" s="194"/>
      <c r="E66" s="194"/>
      <c r="F66" s="194"/>
      <c r="G66" s="194"/>
      <c r="H66" s="194"/>
      <c r="I66" s="194"/>
    </row>
  </sheetData>
  <mergeCells count="33">
    <mergeCell ref="A65:A66"/>
    <mergeCell ref="B65:E66"/>
    <mergeCell ref="F65:G66"/>
    <mergeCell ref="H65:I66"/>
    <mergeCell ref="B64:E64"/>
    <mergeCell ref="F64:G64"/>
    <mergeCell ref="H64:I64"/>
    <mergeCell ref="A56:A57"/>
    <mergeCell ref="B56:E57"/>
    <mergeCell ref="F56:G57"/>
    <mergeCell ref="H56:I57"/>
    <mergeCell ref="A58:A59"/>
    <mergeCell ref="B58:E59"/>
    <mergeCell ref="F58:G59"/>
    <mergeCell ref="H58:I59"/>
    <mergeCell ref="A62:A63"/>
    <mergeCell ref="B62:E63"/>
    <mergeCell ref="F62:G63"/>
    <mergeCell ref="H62:I63"/>
    <mergeCell ref="A60:A61"/>
    <mergeCell ref="B60:E61"/>
    <mergeCell ref="F60:G61"/>
    <mergeCell ref="H60:I61"/>
    <mergeCell ref="B55:E55"/>
    <mergeCell ref="F55:G55"/>
    <mergeCell ref="H55:I55"/>
    <mergeCell ref="N2:O2"/>
    <mergeCell ref="B2:C2"/>
    <mergeCell ref="D2:E2"/>
    <mergeCell ref="F2:G2"/>
    <mergeCell ref="H2:I2"/>
    <mergeCell ref="J2:K2"/>
    <mergeCell ref="L2:M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opLeftCell="A11" zoomScale="80" zoomScaleNormal="80" workbookViewId="0">
      <selection activeCell="K48" sqref="K48"/>
    </sheetView>
  </sheetViews>
  <sheetFormatPr baseColWidth="10" defaultColWidth="11" defaultRowHeight="13.5"/>
  <cols>
    <col min="1" max="1" width="25.5" customWidth="1"/>
    <col min="2" max="2" width="17" customWidth="1"/>
    <col min="3" max="3" width="16.5" customWidth="1"/>
    <col min="4" max="4" width="18.625" customWidth="1"/>
    <col min="5" max="5" width="17.375" customWidth="1"/>
    <col min="6" max="7" width="15.375" customWidth="1"/>
    <col min="8" max="8" width="16" customWidth="1"/>
    <col min="9" max="9" width="17.125" customWidth="1"/>
    <col min="10" max="10" width="19.125" customWidth="1"/>
    <col min="11" max="11" width="18" customWidth="1"/>
    <col min="12" max="12" width="13.875" customWidth="1"/>
  </cols>
  <sheetData>
    <row r="1" spans="1:11" ht="63.6" customHeight="1">
      <c r="A1" s="2" t="s">
        <v>0</v>
      </c>
    </row>
    <row r="2" spans="1:11" ht="16.5">
      <c r="A2" s="3"/>
      <c r="B2" s="180" t="s">
        <v>1</v>
      </c>
      <c r="C2" s="181"/>
      <c r="D2" s="182" t="s">
        <v>2</v>
      </c>
      <c r="E2" s="183"/>
      <c r="F2" s="190" t="s">
        <v>3</v>
      </c>
      <c r="G2" s="191"/>
      <c r="H2" s="186" t="s">
        <v>4</v>
      </c>
      <c r="I2" s="187"/>
      <c r="J2" s="188" t="s">
        <v>5</v>
      </c>
      <c r="K2" s="189"/>
    </row>
    <row r="3" spans="1:11">
      <c r="A3" s="4"/>
      <c r="B3" s="5" t="s">
        <v>6</v>
      </c>
      <c r="C3" s="6" t="s">
        <v>7</v>
      </c>
      <c r="D3" s="36" t="s">
        <v>6</v>
      </c>
      <c r="E3" s="39" t="s">
        <v>7</v>
      </c>
      <c r="F3" s="5" t="s">
        <v>6</v>
      </c>
      <c r="G3" s="6" t="s">
        <v>7</v>
      </c>
      <c r="H3" s="36" t="s">
        <v>6</v>
      </c>
      <c r="I3" s="39" t="s">
        <v>7</v>
      </c>
      <c r="J3" s="5" t="s">
        <v>6</v>
      </c>
      <c r="K3" s="6" t="s">
        <v>7</v>
      </c>
    </row>
    <row r="4" spans="1:11" ht="15">
      <c r="A4" s="7">
        <v>45292</v>
      </c>
      <c r="B4" s="8"/>
      <c r="C4" s="9"/>
      <c r="D4" s="37"/>
      <c r="E4" s="40"/>
      <c r="F4" s="8"/>
      <c r="G4" s="9"/>
      <c r="H4" s="37"/>
      <c r="I4" s="40"/>
      <c r="J4" s="8"/>
      <c r="K4" s="9"/>
    </row>
    <row r="5" spans="1:11">
      <c r="A5" s="13">
        <v>45302</v>
      </c>
      <c r="B5" s="110"/>
      <c r="C5" s="88"/>
      <c r="D5" s="111"/>
      <c r="E5" s="112"/>
      <c r="F5" s="110"/>
      <c r="G5" s="88"/>
      <c r="H5" s="111"/>
      <c r="I5" s="112"/>
      <c r="J5" s="87">
        <v>7804</v>
      </c>
      <c r="K5" s="14">
        <v>25924.887999999999</v>
      </c>
    </row>
    <row r="6" spans="1:11" ht="15">
      <c r="A6" s="7">
        <v>45323</v>
      </c>
      <c r="B6" s="102"/>
      <c r="C6" s="61"/>
      <c r="D6" s="107"/>
      <c r="E6" s="108"/>
      <c r="F6" s="102"/>
      <c r="G6" s="61"/>
      <c r="H6" s="107"/>
      <c r="I6" s="108"/>
      <c r="J6" s="102"/>
      <c r="K6" s="61"/>
    </row>
    <row r="7" spans="1:11">
      <c r="A7" s="13">
        <v>45323</v>
      </c>
      <c r="B7" s="103"/>
      <c r="C7" s="19"/>
      <c r="D7" s="109"/>
      <c r="E7" s="42">
        <v>1345.895</v>
      </c>
      <c r="F7" s="103"/>
      <c r="G7" s="19"/>
      <c r="H7" s="109"/>
      <c r="I7" s="65"/>
      <c r="J7" s="103"/>
      <c r="K7" s="14"/>
    </row>
    <row r="8" spans="1:11">
      <c r="A8" s="13">
        <v>45348</v>
      </c>
      <c r="B8" s="103"/>
      <c r="C8" s="19"/>
      <c r="D8" s="109"/>
      <c r="E8" s="65"/>
      <c r="F8" s="103"/>
      <c r="G8" s="19"/>
      <c r="H8" s="109"/>
      <c r="I8" s="65"/>
      <c r="J8" s="105">
        <v>28605</v>
      </c>
      <c r="K8" s="14">
        <v>94611.038</v>
      </c>
    </row>
    <row r="9" spans="1:11" ht="15">
      <c r="A9" s="7">
        <v>45352</v>
      </c>
      <c r="B9" s="107"/>
      <c r="C9" s="61"/>
      <c r="D9" s="107"/>
      <c r="E9" s="108"/>
      <c r="F9" s="102"/>
      <c r="G9" s="61"/>
      <c r="H9" s="107"/>
      <c r="I9" s="108"/>
      <c r="J9" s="102"/>
      <c r="K9" s="61"/>
    </row>
    <row r="10" spans="1:11">
      <c r="A10" s="13">
        <v>45352</v>
      </c>
      <c r="B10" s="105">
        <v>8100</v>
      </c>
      <c r="C10" s="19">
        <v>26464.987000000001</v>
      </c>
      <c r="D10" s="109"/>
      <c r="E10" s="65"/>
      <c r="F10" s="103"/>
      <c r="G10" s="19"/>
      <c r="H10" s="109"/>
      <c r="I10" s="65"/>
      <c r="J10" s="103"/>
      <c r="K10" s="14"/>
    </row>
    <row r="11" spans="1:11">
      <c r="A11" s="13">
        <v>45376</v>
      </c>
      <c r="B11" s="103"/>
      <c r="C11" s="19"/>
      <c r="D11" s="109"/>
      <c r="E11" s="65"/>
      <c r="F11" s="103"/>
      <c r="G11" s="19"/>
      <c r="H11" s="109">
        <v>35000</v>
      </c>
      <c r="I11" s="65">
        <v>82023.236999999994</v>
      </c>
      <c r="J11" s="103"/>
      <c r="K11" s="14"/>
    </row>
    <row r="12" spans="1:11">
      <c r="A12" s="13">
        <v>45379</v>
      </c>
      <c r="B12" s="110"/>
      <c r="C12" s="88"/>
      <c r="D12" s="111"/>
      <c r="E12" s="112"/>
      <c r="F12" s="110"/>
      <c r="G12" s="88"/>
      <c r="H12" s="111"/>
      <c r="I12" s="112"/>
      <c r="J12" s="87">
        <v>21628</v>
      </c>
      <c r="K12" s="14">
        <v>71638.423999999999</v>
      </c>
    </row>
    <row r="13" spans="1:11" ht="15">
      <c r="A13" s="7">
        <v>45383</v>
      </c>
      <c r="B13" s="102"/>
      <c r="C13" s="61"/>
      <c r="D13" s="107"/>
      <c r="E13" s="108"/>
      <c r="F13" s="102"/>
      <c r="G13" s="61"/>
      <c r="H13" s="107"/>
      <c r="I13" s="108"/>
      <c r="J13" s="102"/>
      <c r="K13" s="61"/>
    </row>
    <row r="14" spans="1:11" ht="15">
      <c r="A14" s="7">
        <v>45413</v>
      </c>
      <c r="B14" s="102"/>
      <c r="C14" s="61"/>
      <c r="D14" s="107"/>
      <c r="E14" s="108"/>
      <c r="F14" s="102"/>
      <c r="G14" s="61"/>
      <c r="H14" s="107"/>
      <c r="I14" s="108"/>
      <c r="J14" s="102"/>
      <c r="K14" s="61"/>
    </row>
    <row r="15" spans="1:11">
      <c r="A15" s="13">
        <v>45414</v>
      </c>
      <c r="B15" s="103"/>
      <c r="C15" s="19"/>
      <c r="D15" s="109"/>
      <c r="E15" s="109">
        <f>(1345.895*3)</f>
        <v>4037.6849999999999</v>
      </c>
      <c r="F15" s="103"/>
      <c r="G15" s="19"/>
      <c r="H15" s="109"/>
      <c r="I15" s="65"/>
      <c r="J15" s="103"/>
      <c r="K15" s="14"/>
    </row>
    <row r="16" spans="1:11">
      <c r="A16" s="13">
        <v>45415</v>
      </c>
      <c r="B16" s="103"/>
      <c r="C16" s="19"/>
      <c r="D16" s="109"/>
      <c r="E16" s="109">
        <v>1682.3689999999999</v>
      </c>
      <c r="F16" s="103"/>
      <c r="G16" s="19"/>
      <c r="H16" s="109"/>
      <c r="I16" s="65"/>
      <c r="J16" s="103"/>
      <c r="K16" s="14"/>
    </row>
    <row r="17" spans="1:12">
      <c r="A17" s="13">
        <v>45428</v>
      </c>
      <c r="B17" s="110"/>
      <c r="C17" s="88"/>
      <c r="D17" s="111"/>
      <c r="E17" s="111"/>
      <c r="F17" s="110"/>
      <c r="G17" s="88"/>
      <c r="H17" s="111"/>
      <c r="I17" s="112"/>
      <c r="J17" s="87">
        <v>14397</v>
      </c>
      <c r="K17" s="14">
        <v>47547.531999999999</v>
      </c>
    </row>
    <row r="18" spans="1:12">
      <c r="A18" s="13">
        <v>45435</v>
      </c>
      <c r="B18" s="110"/>
      <c r="C18" s="88"/>
      <c r="D18" s="111"/>
      <c r="E18" s="109">
        <v>1345.895</v>
      </c>
      <c r="F18" s="110"/>
      <c r="G18" s="88"/>
      <c r="H18" s="111"/>
      <c r="I18" s="112"/>
      <c r="J18" s="87">
        <v>62167</v>
      </c>
      <c r="K18" s="14">
        <v>205611.136</v>
      </c>
    </row>
    <row r="19" spans="1:12">
      <c r="A19" s="13">
        <v>45440</v>
      </c>
      <c r="B19" s="110"/>
      <c r="C19" s="88"/>
      <c r="D19" s="109"/>
      <c r="E19" s="109">
        <f>1634.04+1345.895</f>
        <v>2979.9349999999999</v>
      </c>
      <c r="F19" s="110">
        <v>40000</v>
      </c>
      <c r="G19" s="62">
        <v>130756</v>
      </c>
      <c r="H19" s="111"/>
      <c r="I19" s="112"/>
      <c r="J19" s="125"/>
      <c r="K19" s="14"/>
    </row>
    <row r="20" spans="1:12" ht="15">
      <c r="A20" s="7">
        <v>45444</v>
      </c>
      <c r="B20" s="102"/>
      <c r="C20" s="61"/>
      <c r="D20" s="107"/>
      <c r="E20" s="108"/>
      <c r="F20" s="102"/>
      <c r="G20" s="61"/>
      <c r="H20" s="107"/>
      <c r="I20" s="108"/>
      <c r="J20" s="102"/>
      <c r="K20" s="61"/>
    </row>
    <row r="21" spans="1:12" ht="15">
      <c r="A21" s="7">
        <v>45474</v>
      </c>
      <c r="B21" s="102"/>
      <c r="C21" s="61"/>
      <c r="D21" s="107"/>
      <c r="E21" s="108"/>
      <c r="F21" s="102"/>
      <c r="G21" s="61"/>
      <c r="H21" s="107"/>
      <c r="I21" s="108"/>
      <c r="J21" s="102"/>
      <c r="K21" s="61"/>
    </row>
    <row r="22" spans="1:12">
      <c r="A22" s="13">
        <v>45485</v>
      </c>
      <c r="B22" s="103"/>
      <c r="C22" s="19"/>
      <c r="D22" s="109"/>
      <c r="E22" s="65"/>
      <c r="F22" s="103"/>
      <c r="G22" s="19"/>
      <c r="H22" s="109"/>
      <c r="I22" s="65"/>
      <c r="J22" s="105">
        <v>59755</v>
      </c>
      <c r="K22" s="14">
        <v>197639.663</v>
      </c>
    </row>
    <row r="23" spans="1:12">
      <c r="A23" s="13"/>
      <c r="B23" s="103"/>
      <c r="C23" s="19"/>
      <c r="D23" s="109"/>
      <c r="E23" s="65"/>
      <c r="F23" s="103"/>
      <c r="G23" s="19"/>
      <c r="H23" s="109"/>
      <c r="I23" s="65"/>
      <c r="J23" s="103"/>
      <c r="K23" s="19"/>
    </row>
    <row r="24" spans="1:12" ht="15">
      <c r="A24" s="7">
        <v>45505</v>
      </c>
      <c r="B24" s="102"/>
      <c r="C24" s="61"/>
      <c r="D24" s="107"/>
      <c r="E24" s="108"/>
      <c r="F24" s="102"/>
      <c r="G24" s="61"/>
      <c r="H24" s="107"/>
      <c r="I24" s="108"/>
      <c r="J24" s="102"/>
      <c r="K24" s="61"/>
    </row>
    <row r="25" spans="1:12">
      <c r="A25" s="13">
        <v>45523</v>
      </c>
      <c r="B25" s="105"/>
      <c r="C25" s="62"/>
      <c r="D25" s="89"/>
      <c r="E25" s="115"/>
      <c r="F25" s="105">
        <v>35000</v>
      </c>
      <c r="G25" s="62">
        <v>115762.5</v>
      </c>
      <c r="H25" s="89"/>
      <c r="I25" s="115"/>
      <c r="J25" s="105"/>
      <c r="K25" s="62"/>
    </row>
    <row r="26" spans="1:12">
      <c r="A26" s="13">
        <v>45524</v>
      </c>
      <c r="B26" s="103"/>
      <c r="C26" s="19"/>
      <c r="D26" s="109"/>
      <c r="E26" s="65"/>
      <c r="F26" s="103"/>
      <c r="G26" s="19"/>
      <c r="H26" s="109"/>
      <c r="I26" s="65"/>
      <c r="J26" s="105">
        <v>19281</v>
      </c>
      <c r="K26" s="19">
        <v>63712.135999999999</v>
      </c>
    </row>
    <row r="27" spans="1:12">
      <c r="A27" s="13">
        <v>45530</v>
      </c>
      <c r="B27" s="103"/>
      <c r="C27" s="19"/>
      <c r="D27" s="109"/>
      <c r="E27" s="65"/>
      <c r="F27" s="103"/>
      <c r="G27" s="19"/>
      <c r="H27" s="109">
        <v>25000</v>
      </c>
      <c r="I27" s="65">
        <v>82227.5</v>
      </c>
      <c r="J27" s="103"/>
      <c r="K27" s="19"/>
    </row>
    <row r="28" spans="1:12" ht="15">
      <c r="A28" s="7">
        <v>45536</v>
      </c>
      <c r="B28" s="102"/>
      <c r="C28" s="61"/>
      <c r="D28" s="107"/>
      <c r="E28" s="108"/>
      <c r="F28" s="102"/>
      <c r="G28" s="61"/>
      <c r="H28" s="107"/>
      <c r="I28" s="108"/>
      <c r="J28" s="102"/>
      <c r="K28" s="61"/>
    </row>
    <row r="29" spans="1:12">
      <c r="A29" s="13">
        <v>45551</v>
      </c>
      <c r="B29" s="105"/>
      <c r="C29" s="62"/>
      <c r="D29" s="89"/>
      <c r="E29" s="115"/>
      <c r="F29" s="105"/>
      <c r="G29" s="62"/>
      <c r="H29" s="89"/>
      <c r="I29" s="115"/>
      <c r="J29" s="105">
        <v>15434</v>
      </c>
      <c r="K29" s="62">
        <v>51046.411999999997</v>
      </c>
    </row>
    <row r="30" spans="1:12" hidden="1">
      <c r="A30" s="13"/>
      <c r="B30" s="103"/>
      <c r="C30" s="19"/>
      <c r="D30" s="109"/>
      <c r="E30" s="65"/>
      <c r="F30" s="103"/>
      <c r="G30" s="19"/>
      <c r="H30" s="109"/>
      <c r="I30" s="65"/>
      <c r="J30" s="103"/>
      <c r="K30" s="19"/>
    </row>
    <row r="31" spans="1:12" ht="15">
      <c r="A31" s="7">
        <v>45566</v>
      </c>
      <c r="B31" s="102"/>
      <c r="C31" s="61"/>
      <c r="D31" s="107"/>
      <c r="E31" s="108"/>
      <c r="F31" s="102"/>
      <c r="G31" s="61"/>
      <c r="H31" s="107"/>
      <c r="I31" s="108"/>
      <c r="J31" s="102"/>
      <c r="K31" s="61"/>
    </row>
    <row r="32" spans="1:12">
      <c r="A32" s="13">
        <v>45575</v>
      </c>
      <c r="B32" s="103"/>
      <c r="C32" s="19"/>
      <c r="D32" s="109"/>
      <c r="E32" s="42">
        <f>(1682.369*5)+(504.71)+(1320*3)+1319.96</f>
        <v>14196.514999999999</v>
      </c>
      <c r="F32" s="103"/>
      <c r="G32" s="19"/>
      <c r="H32" s="109"/>
      <c r="I32" s="65"/>
      <c r="J32" s="103"/>
      <c r="K32" s="14"/>
      <c r="L32" s="63"/>
    </row>
    <row r="33" spans="1:11">
      <c r="A33" s="13">
        <v>45583</v>
      </c>
      <c r="B33" s="103"/>
      <c r="C33" s="19"/>
      <c r="D33" s="109"/>
      <c r="E33" s="65"/>
      <c r="F33" s="103"/>
      <c r="G33" s="19"/>
      <c r="H33" s="109">
        <v>20000</v>
      </c>
      <c r="I33" s="42">
        <v>65248</v>
      </c>
      <c r="J33" s="103"/>
      <c r="K33" s="14"/>
    </row>
    <row r="34" spans="1:11">
      <c r="A34" s="13">
        <v>45588</v>
      </c>
      <c r="B34" s="103"/>
      <c r="C34" s="19"/>
      <c r="D34" s="109"/>
      <c r="E34" s="65"/>
      <c r="F34" s="103"/>
      <c r="G34" s="19"/>
      <c r="H34" s="109"/>
      <c r="I34" s="65"/>
      <c r="J34" s="105">
        <v>26016</v>
      </c>
      <c r="K34" s="19">
        <v>85535.404999999999</v>
      </c>
    </row>
    <row r="35" spans="1:11">
      <c r="A35" s="13">
        <v>45593</v>
      </c>
      <c r="B35" s="103"/>
      <c r="C35" s="19"/>
      <c r="D35" s="109"/>
      <c r="E35" s="65">
        <f>1288.25+649.451+1315.284+(1682.369*2)</f>
        <v>6617.723</v>
      </c>
      <c r="F35" s="103"/>
      <c r="G35" s="19"/>
      <c r="H35" s="109"/>
      <c r="I35" s="65"/>
      <c r="J35" s="103"/>
      <c r="K35" s="19"/>
    </row>
    <row r="36" spans="1:11" ht="15">
      <c r="A36" s="7">
        <v>45597</v>
      </c>
      <c r="B36" s="102"/>
      <c r="C36" s="61"/>
      <c r="D36" s="107"/>
      <c r="E36" s="108"/>
      <c r="F36" s="102"/>
      <c r="G36" s="61"/>
      <c r="H36" s="107"/>
      <c r="I36" s="108"/>
      <c r="J36" s="102"/>
      <c r="K36" s="61"/>
    </row>
    <row r="37" spans="1:11">
      <c r="A37" s="13">
        <v>45609</v>
      </c>
      <c r="B37" s="105"/>
      <c r="C37" s="62"/>
      <c r="D37" s="89"/>
      <c r="E37" s="65">
        <v>1682.3689999999999</v>
      </c>
      <c r="F37" s="103"/>
      <c r="G37" s="19"/>
      <c r="H37" s="109"/>
      <c r="I37" s="65"/>
      <c r="J37" s="103"/>
      <c r="K37" s="19"/>
    </row>
    <row r="38" spans="1:11" ht="15">
      <c r="A38" s="7">
        <v>45627</v>
      </c>
      <c r="B38" s="102"/>
      <c r="C38" s="61"/>
      <c r="D38" s="107"/>
      <c r="E38" s="108"/>
      <c r="F38" s="102"/>
      <c r="G38" s="61"/>
      <c r="H38" s="107"/>
      <c r="I38" s="108"/>
      <c r="J38" s="102"/>
      <c r="K38" s="61"/>
    </row>
    <row r="39" spans="1:11">
      <c r="A39" s="13">
        <v>45653</v>
      </c>
      <c r="B39" s="103"/>
      <c r="C39" s="19"/>
      <c r="D39" s="109"/>
      <c r="E39" s="65"/>
      <c r="F39" s="103"/>
      <c r="G39" s="19"/>
      <c r="H39" s="89">
        <v>20000</v>
      </c>
      <c r="I39" s="65">
        <v>64262</v>
      </c>
      <c r="J39" s="103"/>
      <c r="K39" s="19"/>
    </row>
    <row r="40" spans="1:11">
      <c r="A40" s="41"/>
      <c r="B40" s="103"/>
      <c r="C40" s="19"/>
      <c r="D40" s="109"/>
      <c r="E40" s="65"/>
      <c r="F40" s="103"/>
      <c r="G40" s="19"/>
      <c r="H40" s="109"/>
      <c r="I40" s="65"/>
      <c r="J40" s="103"/>
      <c r="K40" s="19"/>
    </row>
    <row r="41" spans="1:11" ht="15">
      <c r="A41" s="20" t="s">
        <v>8</v>
      </c>
      <c r="B41" s="21">
        <f t="shared" ref="B41:K41" si="0">SUM(B4:B40)</f>
        <v>8100</v>
      </c>
      <c r="C41" s="22">
        <f t="shared" si="0"/>
        <v>26464.987000000001</v>
      </c>
      <c r="D41" s="38">
        <f t="shared" si="0"/>
        <v>0</v>
      </c>
      <c r="E41" s="43">
        <f t="shared" si="0"/>
        <v>33888.385999999999</v>
      </c>
      <c r="F41" s="21">
        <f t="shared" si="0"/>
        <v>75000</v>
      </c>
      <c r="G41" s="22">
        <f t="shared" si="0"/>
        <v>246518.5</v>
      </c>
      <c r="H41" s="38">
        <f t="shared" si="0"/>
        <v>100000</v>
      </c>
      <c r="I41" s="43">
        <f t="shared" si="0"/>
        <v>293760.73699999996</v>
      </c>
      <c r="J41" s="21">
        <f t="shared" si="0"/>
        <v>255087</v>
      </c>
      <c r="K41" s="22">
        <f t="shared" si="0"/>
        <v>843266.63400000008</v>
      </c>
    </row>
    <row r="42" spans="1:11" s="1" customFormat="1" ht="15">
      <c r="A42" s="23"/>
      <c r="B42" s="30"/>
      <c r="C42" s="30"/>
      <c r="D42" s="67"/>
      <c r="E42" s="67"/>
      <c r="F42" s="67"/>
      <c r="G42" s="67"/>
      <c r="H42" s="67"/>
      <c r="I42" s="67"/>
      <c r="J42" s="67"/>
      <c r="K42" s="67"/>
    </row>
    <row r="43" spans="1:11" ht="15">
      <c r="A43" s="25" t="s">
        <v>9</v>
      </c>
      <c r="B43" s="32">
        <f>B41+D41+F41+H41+J41</f>
        <v>438187</v>
      </c>
      <c r="C43" s="32">
        <f>C41+E41+G41+I41+K41</f>
        <v>1443899.2439999999</v>
      </c>
      <c r="D43" s="68"/>
      <c r="E43" s="35"/>
      <c r="F43" s="35"/>
      <c r="G43" s="35"/>
      <c r="H43" s="35"/>
      <c r="I43" s="35"/>
      <c r="J43" s="35"/>
      <c r="K43" s="35"/>
    </row>
    <row r="45" spans="1:11" ht="15">
      <c r="A45" s="69" t="s">
        <v>10</v>
      </c>
      <c r="B45" s="176" t="s">
        <v>11</v>
      </c>
      <c r="C45" s="176"/>
      <c r="D45" s="176"/>
      <c r="E45" s="176"/>
      <c r="F45" s="176" t="s">
        <v>12</v>
      </c>
      <c r="G45" s="176"/>
      <c r="H45" s="176" t="s">
        <v>13</v>
      </c>
      <c r="I45" s="176"/>
    </row>
    <row r="46" spans="1:11" ht="80.099999999999994" customHeight="1">
      <c r="A46" s="201" t="s">
        <v>14</v>
      </c>
      <c r="B46" s="194" t="s">
        <v>15</v>
      </c>
      <c r="C46" s="194"/>
      <c r="D46" s="194"/>
      <c r="E46" s="194"/>
      <c r="F46" s="194" t="s">
        <v>16</v>
      </c>
      <c r="G46" s="194"/>
      <c r="H46" s="194" t="s">
        <v>17</v>
      </c>
      <c r="I46" s="194"/>
    </row>
    <row r="47" spans="1:11" ht="80.099999999999994" customHeight="1">
      <c r="A47" s="201"/>
      <c r="B47" s="194"/>
      <c r="C47" s="194"/>
      <c r="D47" s="194"/>
      <c r="E47" s="194"/>
      <c r="F47" s="194"/>
      <c r="G47" s="194"/>
      <c r="H47" s="194"/>
      <c r="I47" s="194"/>
    </row>
    <row r="48" spans="1:11" ht="90" customHeight="1">
      <c r="A48" s="202" t="s">
        <v>18</v>
      </c>
      <c r="B48" s="194" t="s">
        <v>19</v>
      </c>
      <c r="C48" s="194"/>
      <c r="D48" s="194"/>
      <c r="E48" s="194"/>
      <c r="F48" s="194" t="s">
        <v>20</v>
      </c>
      <c r="G48" s="194"/>
      <c r="H48" s="194" t="s">
        <v>21</v>
      </c>
      <c r="I48" s="194"/>
    </row>
    <row r="49" spans="1:9" ht="138" customHeight="1">
      <c r="A49" s="202"/>
      <c r="B49" s="194"/>
      <c r="C49" s="194"/>
      <c r="D49" s="194"/>
      <c r="E49" s="194"/>
      <c r="F49" s="194"/>
      <c r="G49" s="194"/>
      <c r="H49" s="194"/>
      <c r="I49" s="194"/>
    </row>
    <row r="50" spans="1:9" ht="80.099999999999994" customHeight="1">
      <c r="A50" s="203" t="s">
        <v>22</v>
      </c>
      <c r="B50" s="194" t="s">
        <v>23</v>
      </c>
      <c r="C50" s="194"/>
      <c r="D50" s="194"/>
      <c r="E50" s="194"/>
      <c r="F50" s="194" t="s">
        <v>24</v>
      </c>
      <c r="G50" s="194"/>
      <c r="H50" s="194" t="s">
        <v>17</v>
      </c>
      <c r="I50" s="194"/>
    </row>
    <row r="51" spans="1:9" ht="80.099999999999994" customHeight="1">
      <c r="A51" s="204"/>
      <c r="B51" s="194"/>
      <c r="C51" s="194"/>
      <c r="D51" s="194"/>
      <c r="E51" s="194"/>
      <c r="F51" s="194"/>
      <c r="G51" s="194"/>
      <c r="H51" s="194"/>
      <c r="I51" s="194"/>
    </row>
    <row r="52" spans="1:9" ht="80.099999999999994" customHeight="1">
      <c r="A52" s="200" t="s">
        <v>25</v>
      </c>
      <c r="B52" s="194" t="s">
        <v>26</v>
      </c>
      <c r="C52" s="194"/>
      <c r="D52" s="194"/>
      <c r="E52" s="194"/>
      <c r="F52" s="194" t="s">
        <v>27</v>
      </c>
      <c r="G52" s="194"/>
      <c r="H52" s="194" t="s">
        <v>17</v>
      </c>
      <c r="I52" s="194"/>
    </row>
    <row r="53" spans="1:9" ht="80.099999999999994" customHeight="1">
      <c r="A53" s="200"/>
      <c r="B53" s="194"/>
      <c r="C53" s="194"/>
      <c r="D53" s="194"/>
      <c r="E53" s="194"/>
      <c r="F53" s="194"/>
      <c r="G53" s="194"/>
      <c r="H53" s="194"/>
      <c r="I53" s="194"/>
    </row>
    <row r="54" spans="1:9" ht="80.099999999999994" customHeight="1">
      <c r="A54" s="193" t="s">
        <v>28</v>
      </c>
      <c r="B54" s="194" t="s">
        <v>29</v>
      </c>
      <c r="C54" s="194"/>
      <c r="D54" s="194"/>
      <c r="E54" s="194"/>
      <c r="F54" s="194" t="s">
        <v>30</v>
      </c>
      <c r="G54" s="194"/>
      <c r="H54" s="194" t="s">
        <v>17</v>
      </c>
      <c r="I54" s="194"/>
    </row>
    <row r="55" spans="1:9" ht="80.099999999999994" customHeight="1">
      <c r="A55" s="193"/>
      <c r="B55" s="194"/>
      <c r="C55" s="194"/>
      <c r="D55" s="194"/>
      <c r="E55" s="194"/>
      <c r="F55" s="194"/>
      <c r="G55" s="194"/>
      <c r="H55" s="194"/>
      <c r="I55" s="194"/>
    </row>
  </sheetData>
  <mergeCells count="28">
    <mergeCell ref="B2:C2"/>
    <mergeCell ref="D2:E2"/>
    <mergeCell ref="F2:G2"/>
    <mergeCell ref="H2:I2"/>
    <mergeCell ref="J2:K2"/>
    <mergeCell ref="B45:E45"/>
    <mergeCell ref="F45:G45"/>
    <mergeCell ref="H45:I45"/>
    <mergeCell ref="A46:A47"/>
    <mergeCell ref="A48:A49"/>
    <mergeCell ref="F46:G47"/>
    <mergeCell ref="H46:I47"/>
    <mergeCell ref="F48:G49"/>
    <mergeCell ref="H48:I49"/>
    <mergeCell ref="B46:E47"/>
    <mergeCell ref="B48:E49"/>
    <mergeCell ref="A50:A51"/>
    <mergeCell ref="A52:A53"/>
    <mergeCell ref="A54:A55"/>
    <mergeCell ref="F50:G51"/>
    <mergeCell ref="H50:I51"/>
    <mergeCell ref="F52:G53"/>
    <mergeCell ref="H52:I53"/>
    <mergeCell ref="F54:G55"/>
    <mergeCell ref="H54:I55"/>
    <mergeCell ref="B50:E51"/>
    <mergeCell ref="B52:E53"/>
    <mergeCell ref="B54:E55"/>
  </mergeCell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7"/>
  <sheetViews>
    <sheetView zoomScale="58" zoomScaleNormal="58" workbookViewId="0">
      <selection activeCell="W10" sqref="W10"/>
    </sheetView>
  </sheetViews>
  <sheetFormatPr baseColWidth="10" defaultColWidth="11" defaultRowHeight="13.5"/>
  <cols>
    <col min="1" max="1" width="20.375" customWidth="1"/>
    <col min="2" max="2" width="16" customWidth="1"/>
    <col min="3" max="3" width="20.625" customWidth="1"/>
    <col min="4" max="5" width="14.125" customWidth="1"/>
    <col min="6" max="6" width="18.375" customWidth="1"/>
    <col min="7" max="7" width="14.125" customWidth="1"/>
    <col min="8" max="8" width="18.625" customWidth="1"/>
    <col min="9" max="9" width="17.375" customWidth="1"/>
    <col min="10" max="10" width="18.625" customWidth="1"/>
    <col min="11" max="12" width="17.375" customWidth="1"/>
    <col min="13" max="13" width="19.375" customWidth="1"/>
    <col min="14" max="15" width="15.375" customWidth="1"/>
    <col min="16" max="16" width="16" customWidth="1"/>
    <col min="17" max="17" width="17.125" customWidth="1"/>
    <col min="18" max="18" width="19.125" customWidth="1"/>
    <col min="19" max="19" width="18" customWidth="1"/>
    <col min="20" max="20" width="13.875" customWidth="1"/>
  </cols>
  <sheetData>
    <row r="1" spans="1:19" ht="63.6" customHeight="1">
      <c r="A1" s="2" t="s">
        <v>31</v>
      </c>
    </row>
    <row r="2" spans="1:19" ht="16.5">
      <c r="A2" s="3"/>
      <c r="B2" s="228" t="s">
        <v>32</v>
      </c>
      <c r="C2" s="229"/>
      <c r="D2" s="230" t="s">
        <v>33</v>
      </c>
      <c r="E2" s="231"/>
      <c r="F2" s="180" t="s">
        <v>1</v>
      </c>
      <c r="G2" s="181"/>
      <c r="H2" s="232" t="s">
        <v>34</v>
      </c>
      <c r="I2" s="233"/>
      <c r="J2" s="182" t="s">
        <v>2</v>
      </c>
      <c r="K2" s="183"/>
      <c r="L2" s="178" t="s">
        <v>35</v>
      </c>
      <c r="M2" s="179"/>
      <c r="N2" s="190" t="s">
        <v>3</v>
      </c>
      <c r="O2" s="191"/>
      <c r="P2" s="186" t="s">
        <v>4</v>
      </c>
      <c r="Q2" s="187"/>
      <c r="R2" s="224" t="s">
        <v>5</v>
      </c>
      <c r="S2" s="225"/>
    </row>
    <row r="3" spans="1:19">
      <c r="A3" s="4"/>
      <c r="B3" s="5" t="s">
        <v>6</v>
      </c>
      <c r="C3" s="6" t="s">
        <v>7</v>
      </c>
      <c r="D3" s="5" t="s">
        <v>6</v>
      </c>
      <c r="E3" s="6" t="s">
        <v>7</v>
      </c>
      <c r="F3" s="5" t="s">
        <v>6</v>
      </c>
      <c r="G3" s="6" t="s">
        <v>7</v>
      </c>
      <c r="H3" s="36" t="s">
        <v>6</v>
      </c>
      <c r="I3" s="39" t="s">
        <v>7</v>
      </c>
      <c r="J3" s="5" t="s">
        <v>6</v>
      </c>
      <c r="K3" s="6" t="s">
        <v>7</v>
      </c>
      <c r="L3" s="5"/>
      <c r="M3" s="6"/>
      <c r="N3" s="36" t="s">
        <v>6</v>
      </c>
      <c r="O3" s="6" t="s">
        <v>7</v>
      </c>
      <c r="P3" s="36" t="s">
        <v>6</v>
      </c>
      <c r="Q3" s="39" t="s">
        <v>7</v>
      </c>
      <c r="R3" s="5" t="s">
        <v>6</v>
      </c>
      <c r="S3" s="6" t="s">
        <v>7</v>
      </c>
    </row>
    <row r="4" spans="1:19" ht="15">
      <c r="A4" s="7">
        <v>44927</v>
      </c>
      <c r="B4" s="102"/>
      <c r="C4" s="61"/>
      <c r="D4" s="102"/>
      <c r="E4" s="61"/>
      <c r="F4" s="102"/>
      <c r="G4" s="61"/>
      <c r="H4" s="107"/>
      <c r="I4" s="108"/>
      <c r="J4" s="102"/>
      <c r="K4" s="61"/>
      <c r="L4" s="102"/>
      <c r="M4" s="61"/>
      <c r="N4" s="107"/>
      <c r="O4" s="61"/>
      <c r="P4" s="107"/>
      <c r="Q4" s="108"/>
      <c r="R4" s="102"/>
      <c r="S4" s="61"/>
    </row>
    <row r="5" spans="1:19" ht="15">
      <c r="A5" s="7">
        <v>44958</v>
      </c>
      <c r="B5" s="102"/>
      <c r="C5" s="61"/>
      <c r="D5" s="102"/>
      <c r="E5" s="61"/>
      <c r="F5" s="102"/>
      <c r="G5" s="61"/>
      <c r="H5" s="107"/>
      <c r="I5" s="108"/>
      <c r="J5" s="102"/>
      <c r="K5" s="61"/>
      <c r="L5" s="102"/>
      <c r="M5" s="61"/>
      <c r="N5" s="107"/>
      <c r="O5" s="61"/>
      <c r="P5" s="107"/>
      <c r="Q5" s="108"/>
      <c r="R5" s="102"/>
      <c r="S5" s="61"/>
    </row>
    <row r="6" spans="1:19">
      <c r="A6" s="13">
        <v>44966</v>
      </c>
      <c r="B6" s="103"/>
      <c r="C6" s="19"/>
      <c r="D6" s="103"/>
      <c r="E6" s="19"/>
      <c r="F6" s="103"/>
      <c r="G6" s="19"/>
      <c r="H6" s="109"/>
      <c r="I6" s="42"/>
      <c r="J6" s="103"/>
      <c r="K6" s="14"/>
      <c r="L6" s="103">
        <v>45000</v>
      </c>
      <c r="M6" s="57">
        <v>147367.73699999999</v>
      </c>
      <c r="N6" s="109"/>
      <c r="O6" s="19"/>
      <c r="P6" s="109"/>
      <c r="Q6" s="65"/>
      <c r="R6" s="103"/>
      <c r="S6" s="14"/>
    </row>
    <row r="7" spans="1:19">
      <c r="A7" s="13">
        <v>44973</v>
      </c>
      <c r="B7" s="103"/>
      <c r="C7" s="19"/>
      <c r="D7" s="103"/>
      <c r="E7" s="19"/>
      <c r="F7" s="103"/>
      <c r="G7" s="19"/>
      <c r="H7" s="109"/>
      <c r="I7" s="65"/>
      <c r="J7" s="103"/>
      <c r="K7" s="19"/>
      <c r="L7" s="103">
        <v>30000</v>
      </c>
      <c r="M7" s="114">
        <v>98266.176999999996</v>
      </c>
      <c r="N7" s="109"/>
      <c r="O7" s="19"/>
      <c r="P7" s="109"/>
      <c r="Q7" s="65"/>
      <c r="R7" s="103"/>
      <c r="S7" s="14"/>
    </row>
    <row r="8" spans="1:19" ht="15">
      <c r="A8" s="7">
        <v>44986</v>
      </c>
      <c r="B8" s="102"/>
      <c r="C8" s="61"/>
      <c r="D8" s="102"/>
      <c r="E8" s="61"/>
      <c r="F8" s="102"/>
      <c r="G8" s="61"/>
      <c r="H8" s="107"/>
      <c r="I8" s="108"/>
      <c r="J8" s="102"/>
      <c r="K8" s="61"/>
      <c r="L8" s="102"/>
      <c r="M8" s="61"/>
      <c r="N8" s="107"/>
      <c r="O8" s="61"/>
      <c r="P8" s="107"/>
      <c r="Q8" s="108"/>
      <c r="R8" s="102"/>
      <c r="S8" s="61"/>
    </row>
    <row r="9" spans="1:19">
      <c r="A9" s="13">
        <v>44998</v>
      </c>
      <c r="B9" s="105"/>
      <c r="C9" s="62"/>
      <c r="D9" s="105"/>
      <c r="E9" s="62"/>
      <c r="F9" s="105"/>
      <c r="G9" s="62"/>
      <c r="H9" s="89"/>
      <c r="I9" s="115"/>
      <c r="J9" s="105"/>
      <c r="K9" s="62"/>
      <c r="L9" s="105"/>
      <c r="M9" s="62"/>
      <c r="N9" s="89">
        <v>45000</v>
      </c>
      <c r="O9" s="62">
        <v>147376.73699999999</v>
      </c>
      <c r="P9" s="89"/>
      <c r="Q9" s="115"/>
      <c r="R9" s="105"/>
      <c r="S9" s="62"/>
    </row>
    <row r="10" spans="1:19">
      <c r="A10" s="13">
        <v>44974</v>
      </c>
      <c r="B10" s="105"/>
      <c r="C10" s="62"/>
      <c r="D10" s="105">
        <v>2000</v>
      </c>
      <c r="E10" s="62">
        <v>6478.0479999999998</v>
      </c>
      <c r="F10" s="105"/>
      <c r="G10" s="62"/>
      <c r="H10" s="89"/>
      <c r="I10" s="115"/>
      <c r="J10" s="105"/>
      <c r="K10" s="62"/>
      <c r="L10" s="105"/>
      <c r="M10" s="62"/>
      <c r="N10" s="89"/>
      <c r="O10" s="62"/>
      <c r="P10" s="89"/>
      <c r="Q10" s="115"/>
      <c r="R10" s="105"/>
      <c r="S10" s="62"/>
    </row>
    <row r="11" spans="1:19">
      <c r="A11" s="13">
        <v>45014</v>
      </c>
      <c r="B11" s="103"/>
      <c r="C11" s="19"/>
      <c r="D11" s="103"/>
      <c r="E11" s="19"/>
      <c r="F11" s="103"/>
      <c r="G11" s="19"/>
      <c r="H11" s="109"/>
      <c r="I11" s="65"/>
      <c r="J11" s="103"/>
      <c r="K11" s="19"/>
      <c r="L11" s="103">
        <v>50000</v>
      </c>
      <c r="M11" s="114">
        <v>164178.23699999999</v>
      </c>
      <c r="N11" s="109"/>
      <c r="O11" s="19"/>
      <c r="P11" s="109"/>
      <c r="Q11" s="65"/>
      <c r="R11" s="103"/>
      <c r="S11" s="14"/>
    </row>
    <row r="12" spans="1:19" ht="15">
      <c r="A12" s="7">
        <v>45017</v>
      </c>
      <c r="B12" s="102"/>
      <c r="C12" s="61"/>
      <c r="D12" s="102"/>
      <c r="E12" s="61"/>
      <c r="F12" s="102"/>
      <c r="G12" s="61"/>
      <c r="H12" s="107"/>
      <c r="I12" s="108"/>
      <c r="J12" s="102"/>
      <c r="K12" s="61"/>
      <c r="L12" s="102"/>
      <c r="M12" s="61"/>
      <c r="N12" s="107"/>
      <c r="O12" s="61"/>
      <c r="P12" s="107"/>
      <c r="Q12" s="108"/>
      <c r="R12" s="102"/>
      <c r="S12" s="61"/>
    </row>
    <row r="13" spans="1:19">
      <c r="A13" s="13">
        <v>45022</v>
      </c>
      <c r="B13" s="103">
        <v>2000</v>
      </c>
      <c r="C13" s="19">
        <v>6445.3770000000004</v>
      </c>
      <c r="D13" s="103"/>
      <c r="E13" s="19"/>
      <c r="F13" s="103"/>
      <c r="G13" s="103"/>
      <c r="H13" s="109"/>
      <c r="I13" s="65"/>
      <c r="J13" s="103"/>
      <c r="K13" s="19"/>
      <c r="L13" s="103"/>
      <c r="M13" s="19"/>
      <c r="N13" s="109"/>
      <c r="O13" s="19"/>
      <c r="P13" s="109"/>
      <c r="Q13" s="65"/>
      <c r="R13" s="103"/>
      <c r="S13" s="14"/>
    </row>
    <row r="14" spans="1:19">
      <c r="A14" s="13">
        <v>45028</v>
      </c>
      <c r="B14" s="103"/>
      <c r="C14" s="19"/>
      <c r="D14" s="103"/>
      <c r="E14" s="19"/>
      <c r="F14" s="103"/>
      <c r="G14" s="19"/>
      <c r="H14" s="109"/>
      <c r="I14" s="65"/>
      <c r="J14" s="103"/>
      <c r="K14" s="19">
        <f>SUM(11880+11880+1345.895+1345.895+11880+1345.895+11880+1345.895)</f>
        <v>52903.579999999994</v>
      </c>
      <c r="L14" s="103"/>
      <c r="M14" s="19"/>
      <c r="N14" s="109"/>
      <c r="O14" s="19"/>
      <c r="P14" s="109"/>
      <c r="Q14" s="65"/>
      <c r="R14" s="103"/>
      <c r="S14" s="14"/>
    </row>
    <row r="15" spans="1:19">
      <c r="A15" s="13">
        <v>45036</v>
      </c>
      <c r="B15" s="103"/>
      <c r="C15" s="19"/>
      <c r="D15" s="103"/>
      <c r="E15" s="19"/>
      <c r="F15" s="103"/>
      <c r="G15" s="19"/>
      <c r="H15" s="109"/>
      <c r="I15" s="65"/>
      <c r="J15" s="103"/>
      <c r="K15" s="19">
        <v>3105.2049999999999</v>
      </c>
      <c r="L15" s="103"/>
      <c r="M15" s="19"/>
      <c r="N15" s="109"/>
      <c r="O15" s="19"/>
      <c r="P15" s="109"/>
      <c r="Q15" s="65"/>
      <c r="R15" s="103"/>
      <c r="S15" s="14"/>
    </row>
    <row r="16" spans="1:19">
      <c r="A16" s="13">
        <v>45044</v>
      </c>
      <c r="B16" s="103"/>
      <c r="C16" s="19"/>
      <c r="D16" s="103"/>
      <c r="E16" s="19"/>
      <c r="F16" s="103"/>
      <c r="G16" s="19"/>
      <c r="H16" s="109"/>
      <c r="I16" s="65"/>
      <c r="J16" s="103"/>
      <c r="K16" s="19">
        <f>SUM(1682.369*12+3126.28+3123.681+3114.274+3105.205+3099.907+3094.59+3088.68+3081.13+3079.165+1368.639+1032.651)</f>
        <v>50502.630000000005</v>
      </c>
      <c r="L16" s="103"/>
      <c r="M16" s="19"/>
      <c r="N16" s="109"/>
      <c r="O16" s="19"/>
      <c r="P16" s="109"/>
      <c r="Q16" s="65"/>
      <c r="R16" s="103"/>
      <c r="S16" s="14"/>
    </row>
    <row r="17" spans="1:19" ht="15">
      <c r="A17" s="7">
        <v>45047</v>
      </c>
      <c r="B17" s="102"/>
      <c r="C17" s="61"/>
      <c r="D17" s="102"/>
      <c r="E17" s="61"/>
      <c r="F17" s="102"/>
      <c r="G17" s="61"/>
      <c r="H17" s="107"/>
      <c r="I17" s="108"/>
      <c r="J17" s="102"/>
      <c r="K17" s="61"/>
      <c r="L17" s="102"/>
      <c r="M17" s="61"/>
      <c r="N17" s="107"/>
      <c r="O17" s="61"/>
      <c r="P17" s="107"/>
      <c r="Q17" s="108"/>
      <c r="R17" s="102"/>
      <c r="S17" s="61"/>
    </row>
    <row r="18" spans="1:19">
      <c r="A18" s="13">
        <v>45049</v>
      </c>
      <c r="B18" s="103"/>
      <c r="C18" s="19"/>
      <c r="D18" s="103"/>
      <c r="E18" s="19"/>
      <c r="F18" s="103"/>
      <c r="G18" s="19"/>
      <c r="H18" s="109"/>
      <c r="I18" s="118"/>
      <c r="J18" s="103"/>
      <c r="K18" s="104">
        <f>SUM(14850*2+1345.895*2)</f>
        <v>32391.79</v>
      </c>
      <c r="L18" s="103"/>
      <c r="M18" s="104"/>
      <c r="N18" s="109"/>
      <c r="O18" s="19"/>
      <c r="P18" s="109"/>
      <c r="Q18" s="65"/>
      <c r="R18" s="103"/>
      <c r="S18" s="14"/>
    </row>
    <row r="19" spans="1:19">
      <c r="A19" s="13">
        <v>45050</v>
      </c>
      <c r="B19" s="110"/>
      <c r="C19" s="88"/>
      <c r="D19" s="110"/>
      <c r="E19" s="88"/>
      <c r="F19" s="110"/>
      <c r="G19" s="88"/>
      <c r="H19" s="111"/>
      <c r="I19" s="121"/>
      <c r="J19" s="110"/>
      <c r="K19" s="123"/>
      <c r="L19" s="110"/>
      <c r="M19" s="122"/>
      <c r="N19" s="111"/>
      <c r="O19" s="88"/>
      <c r="P19" s="111"/>
      <c r="Q19" s="112"/>
      <c r="R19" s="110"/>
      <c r="S19" s="14"/>
    </row>
    <row r="20" spans="1:19">
      <c r="A20" s="13">
        <v>45051</v>
      </c>
      <c r="B20" s="110"/>
      <c r="C20" s="88"/>
      <c r="D20" s="110"/>
      <c r="E20" s="88"/>
      <c r="F20" s="110"/>
      <c r="G20" s="88"/>
      <c r="H20" s="111"/>
      <c r="I20" s="121"/>
      <c r="J20" s="110"/>
      <c r="K20" s="124"/>
      <c r="L20" s="110"/>
      <c r="M20" s="122"/>
      <c r="N20" s="111"/>
      <c r="O20" s="88"/>
      <c r="P20" s="111"/>
      <c r="Q20" s="112"/>
      <c r="R20" s="105">
        <v>7804</v>
      </c>
      <c r="S20" s="14">
        <v>25696.231</v>
      </c>
    </row>
    <row r="21" spans="1:19">
      <c r="A21" s="13">
        <v>45058</v>
      </c>
      <c r="B21" s="103">
        <v>2000</v>
      </c>
      <c r="C21" s="114">
        <v>6436.1769999999997</v>
      </c>
      <c r="D21" s="110"/>
      <c r="E21" s="88"/>
      <c r="F21" s="110"/>
      <c r="G21" s="110"/>
      <c r="H21" s="111"/>
      <c r="I21" s="118"/>
      <c r="J21" s="110"/>
      <c r="K21" s="104"/>
      <c r="L21" s="110"/>
      <c r="M21" s="104"/>
      <c r="N21" s="111"/>
      <c r="O21" s="88"/>
      <c r="P21" s="111"/>
      <c r="Q21" s="112"/>
      <c r="R21" s="110"/>
      <c r="S21" s="14"/>
    </row>
    <row r="22" spans="1:19">
      <c r="A22" s="13">
        <v>45064</v>
      </c>
      <c r="B22" s="110"/>
      <c r="C22" s="88"/>
      <c r="D22" s="110"/>
      <c r="E22" s="88"/>
      <c r="F22" s="110"/>
      <c r="G22" s="88"/>
      <c r="H22" s="109"/>
      <c r="I22" s="118"/>
      <c r="J22" s="103"/>
      <c r="K22" s="117"/>
      <c r="L22" s="103"/>
      <c r="M22" s="104"/>
      <c r="N22" s="111"/>
      <c r="O22" s="14"/>
      <c r="P22" s="111"/>
      <c r="Q22" s="112"/>
      <c r="R22" s="110"/>
      <c r="S22" s="14"/>
    </row>
    <row r="23" spans="1:19">
      <c r="A23" s="13">
        <v>45070</v>
      </c>
      <c r="B23" s="103"/>
      <c r="C23" s="19"/>
      <c r="D23" s="103"/>
      <c r="E23" s="19"/>
      <c r="F23" s="103"/>
      <c r="G23" s="19"/>
      <c r="H23" s="109"/>
      <c r="I23" s="118"/>
      <c r="J23" s="103"/>
      <c r="K23" s="104"/>
      <c r="L23" s="103">
        <v>40000</v>
      </c>
      <c r="M23" s="124">
        <v>129630.23699999999</v>
      </c>
      <c r="N23" s="109"/>
      <c r="O23" s="19"/>
      <c r="P23" s="109"/>
      <c r="Q23" s="65"/>
      <c r="R23" s="103"/>
      <c r="S23" s="14"/>
    </row>
    <row r="24" spans="1:19" ht="15">
      <c r="A24" s="7">
        <v>45078</v>
      </c>
      <c r="B24" s="102"/>
      <c r="C24" s="61"/>
      <c r="D24" s="102"/>
      <c r="E24" s="61"/>
      <c r="F24" s="102"/>
      <c r="G24" s="61"/>
      <c r="H24" s="107"/>
      <c r="I24" s="108"/>
      <c r="J24" s="102"/>
      <c r="K24" s="61"/>
      <c r="L24" s="102"/>
      <c r="M24" s="61"/>
      <c r="N24" s="107"/>
      <c r="O24" s="61"/>
      <c r="P24" s="107"/>
      <c r="Q24" s="108"/>
      <c r="R24" s="102"/>
      <c r="S24" s="61"/>
    </row>
    <row r="25" spans="1:19">
      <c r="A25" s="13">
        <v>45084</v>
      </c>
      <c r="B25" s="105"/>
      <c r="C25" s="62"/>
      <c r="D25" s="105"/>
      <c r="E25" s="62"/>
      <c r="F25" s="105"/>
      <c r="G25" s="62"/>
      <c r="H25" s="89"/>
      <c r="I25" s="115"/>
      <c r="J25" s="105"/>
      <c r="K25" s="62">
        <f>SUM(10395+1345.895+3098.999+1682.369)</f>
        <v>16522.262999999999</v>
      </c>
      <c r="L25" s="105"/>
      <c r="M25" s="62"/>
      <c r="N25" s="89"/>
      <c r="O25" s="62"/>
      <c r="P25" s="89"/>
      <c r="Q25" s="115"/>
      <c r="R25" s="105"/>
      <c r="S25" s="62"/>
    </row>
    <row r="26" spans="1:19">
      <c r="A26" s="13">
        <v>45086</v>
      </c>
      <c r="B26" s="105"/>
      <c r="C26" s="62"/>
      <c r="D26" s="105"/>
      <c r="E26" s="62"/>
      <c r="F26" s="105"/>
      <c r="G26" s="62"/>
      <c r="H26" s="89"/>
      <c r="I26" s="115"/>
      <c r="J26" s="105"/>
      <c r="K26" s="62">
        <f>SUM(14850+1345.895)</f>
        <v>16195.895</v>
      </c>
      <c r="L26" s="105"/>
      <c r="M26" s="62"/>
      <c r="N26" s="89"/>
      <c r="O26" s="62"/>
      <c r="P26" s="89"/>
      <c r="Q26" s="115"/>
      <c r="R26" s="105"/>
      <c r="S26" s="62"/>
    </row>
    <row r="27" spans="1:19">
      <c r="A27" s="13">
        <v>45092</v>
      </c>
      <c r="B27" s="105"/>
      <c r="C27" s="62"/>
      <c r="D27" s="105"/>
      <c r="E27" s="62"/>
      <c r="F27" s="105"/>
      <c r="G27" s="62"/>
      <c r="H27" s="89"/>
      <c r="I27" s="115"/>
      <c r="J27" s="105"/>
      <c r="K27" s="62"/>
      <c r="L27" s="105"/>
      <c r="M27" s="62"/>
      <c r="N27" s="89"/>
      <c r="O27" s="62"/>
      <c r="P27" s="89"/>
      <c r="Q27" s="115"/>
      <c r="R27" s="105">
        <v>17834</v>
      </c>
      <c r="S27" s="62">
        <v>58549.021999999997</v>
      </c>
    </row>
    <row r="28" spans="1:19">
      <c r="A28" s="13">
        <v>45100</v>
      </c>
      <c r="B28" s="103"/>
      <c r="C28" s="19"/>
      <c r="D28" s="103"/>
      <c r="E28" s="19"/>
      <c r="F28" s="103"/>
      <c r="G28" s="19"/>
      <c r="H28" s="109"/>
      <c r="I28" s="65"/>
      <c r="J28" s="103"/>
      <c r="K28" s="19"/>
      <c r="L28" s="103"/>
      <c r="M28" s="19"/>
      <c r="N28" s="109">
        <v>30000</v>
      </c>
      <c r="O28" s="19">
        <v>97384.176999999996</v>
      </c>
      <c r="P28" s="109"/>
      <c r="Q28" s="65"/>
      <c r="R28" s="103"/>
      <c r="S28" s="14"/>
    </row>
    <row r="29" spans="1:19" ht="15">
      <c r="A29" s="7">
        <v>45108</v>
      </c>
      <c r="B29" s="102"/>
      <c r="C29" s="61"/>
      <c r="D29" s="102"/>
      <c r="E29" s="61"/>
      <c r="F29" s="102"/>
      <c r="G29" s="61"/>
      <c r="H29" s="107"/>
      <c r="I29" s="108"/>
      <c r="J29" s="102"/>
      <c r="K29" s="61"/>
      <c r="L29" s="102"/>
      <c r="M29" s="61"/>
      <c r="N29" s="107"/>
      <c r="O29" s="61"/>
      <c r="P29" s="107"/>
      <c r="Q29" s="108"/>
      <c r="R29" s="102"/>
      <c r="S29" s="61"/>
    </row>
    <row r="30" spans="1:19">
      <c r="A30" s="13">
        <v>45119</v>
      </c>
      <c r="B30" s="103"/>
      <c r="C30" s="19"/>
      <c r="D30" s="103"/>
      <c r="E30" s="19"/>
      <c r="F30" s="103"/>
      <c r="G30" s="19"/>
      <c r="H30" s="109"/>
      <c r="I30" s="65"/>
      <c r="J30" s="103"/>
      <c r="K30" s="19">
        <v>1345.895</v>
      </c>
      <c r="L30" s="103"/>
      <c r="M30" s="19"/>
      <c r="N30" s="109"/>
      <c r="O30" s="19"/>
      <c r="P30" s="109"/>
      <c r="Q30" s="65"/>
      <c r="R30" s="105">
        <v>7804</v>
      </c>
      <c r="S30" s="14">
        <v>25810.95</v>
      </c>
    </row>
    <row r="31" spans="1:19">
      <c r="A31" s="13">
        <v>45125</v>
      </c>
      <c r="B31" s="103"/>
      <c r="C31" s="19"/>
      <c r="D31" s="103"/>
      <c r="E31" s="19"/>
      <c r="F31" s="103"/>
      <c r="G31" s="19"/>
      <c r="H31" s="109"/>
      <c r="I31" s="65"/>
      <c r="J31" s="103"/>
      <c r="K31" s="19">
        <f>SUM(1345.895+14850)</f>
        <v>16195.895</v>
      </c>
      <c r="L31" s="103"/>
      <c r="M31" s="19"/>
      <c r="N31" s="109"/>
      <c r="O31" s="19"/>
      <c r="P31" s="109"/>
      <c r="Q31" s="65"/>
      <c r="R31" s="103"/>
      <c r="S31" s="19"/>
    </row>
    <row r="32" spans="1:19">
      <c r="A32" s="13">
        <v>45128</v>
      </c>
      <c r="B32" s="103"/>
      <c r="C32" s="19"/>
      <c r="D32" s="103">
        <v>536</v>
      </c>
      <c r="E32" s="19">
        <v>1743.527</v>
      </c>
      <c r="F32" s="103"/>
      <c r="G32" s="19"/>
      <c r="H32" s="109"/>
      <c r="I32" s="65"/>
      <c r="J32" s="103"/>
      <c r="K32" s="19"/>
      <c r="L32" s="103"/>
      <c r="M32" s="19"/>
      <c r="N32" s="109"/>
      <c r="O32" s="19"/>
      <c r="P32" s="109"/>
      <c r="Q32" s="65"/>
      <c r="R32" s="103"/>
      <c r="S32" s="19"/>
    </row>
    <row r="33" spans="1:20" ht="15">
      <c r="A33" s="7">
        <v>45139</v>
      </c>
      <c r="B33" s="102"/>
      <c r="C33" s="61"/>
      <c r="D33" s="102"/>
      <c r="E33" s="61"/>
      <c r="F33" s="102"/>
      <c r="G33" s="61"/>
      <c r="H33" s="107"/>
      <c r="I33" s="108"/>
      <c r="J33" s="102"/>
      <c r="K33" s="61"/>
      <c r="L33" s="102"/>
      <c r="M33" s="61"/>
      <c r="N33" s="107"/>
      <c r="O33" s="61"/>
      <c r="P33" s="107"/>
      <c r="Q33" s="108"/>
      <c r="R33" s="102"/>
      <c r="S33" s="61"/>
    </row>
    <row r="34" spans="1:20">
      <c r="A34" s="13">
        <v>45139</v>
      </c>
      <c r="B34" s="105"/>
      <c r="C34" s="62"/>
      <c r="D34" s="105"/>
      <c r="E34" s="62"/>
      <c r="F34" s="105"/>
      <c r="G34" s="62"/>
      <c r="H34" s="89"/>
      <c r="I34" s="115"/>
      <c r="J34" s="105"/>
      <c r="K34" s="62"/>
      <c r="L34" s="105"/>
      <c r="M34" s="62"/>
      <c r="N34" s="89"/>
      <c r="O34" s="62"/>
      <c r="P34" s="89"/>
      <c r="Q34" s="115"/>
      <c r="R34" s="105">
        <v>16150</v>
      </c>
      <c r="S34" s="62">
        <v>53493.644999999997</v>
      </c>
    </row>
    <row r="35" spans="1:20">
      <c r="A35" s="13">
        <v>45140</v>
      </c>
      <c r="B35" s="103"/>
      <c r="C35" s="19"/>
      <c r="D35" s="103"/>
      <c r="E35" s="19"/>
      <c r="F35" s="103"/>
      <c r="G35" s="19"/>
      <c r="H35" s="109"/>
      <c r="I35" s="65"/>
      <c r="J35" s="103"/>
      <c r="K35" s="19">
        <f>SUM(1345.895+11880)</f>
        <v>13225.895</v>
      </c>
      <c r="L35" s="103"/>
      <c r="M35" s="19"/>
      <c r="N35" s="109"/>
      <c r="O35" s="14"/>
      <c r="P35" s="109"/>
      <c r="Q35" s="65"/>
      <c r="R35" s="103"/>
      <c r="S35" s="14"/>
    </row>
    <row r="36" spans="1:20">
      <c r="A36" s="13">
        <v>45145</v>
      </c>
      <c r="B36" s="103"/>
      <c r="C36" s="19"/>
      <c r="D36" s="103"/>
      <c r="E36" s="19"/>
      <c r="F36" s="103"/>
      <c r="G36" s="19"/>
      <c r="H36" s="109"/>
      <c r="I36" s="65"/>
      <c r="J36" s="103"/>
      <c r="K36" s="19"/>
      <c r="L36" s="103"/>
      <c r="M36" s="19"/>
      <c r="N36" s="109"/>
      <c r="O36" s="14"/>
      <c r="P36" s="109"/>
      <c r="Q36" s="65"/>
      <c r="R36" s="105">
        <v>7834</v>
      </c>
      <c r="S36" s="14">
        <v>25910.171999999999</v>
      </c>
    </row>
    <row r="37" spans="1:20">
      <c r="A37" s="13">
        <v>45148</v>
      </c>
      <c r="B37" s="103"/>
      <c r="C37" s="19"/>
      <c r="D37" s="103"/>
      <c r="E37" s="19"/>
      <c r="F37" s="103"/>
      <c r="G37" s="19"/>
      <c r="H37" s="109"/>
      <c r="I37" s="65"/>
      <c r="J37" s="103"/>
      <c r="K37" s="19">
        <v>1682.3689999999999</v>
      </c>
      <c r="L37" s="103"/>
      <c r="M37" s="19"/>
      <c r="N37" s="109"/>
      <c r="O37" s="19"/>
      <c r="P37" s="109"/>
      <c r="Q37" s="65"/>
      <c r="R37" s="103"/>
      <c r="S37" s="14"/>
    </row>
    <row r="38" spans="1:20" ht="15">
      <c r="A38" s="7">
        <v>45170</v>
      </c>
      <c r="B38" s="102"/>
      <c r="C38" s="61"/>
      <c r="D38" s="102"/>
      <c r="E38" s="61"/>
      <c r="F38" s="102"/>
      <c r="G38" s="61"/>
      <c r="H38" s="107"/>
      <c r="I38" s="108"/>
      <c r="J38" s="102"/>
      <c r="K38" s="61"/>
      <c r="L38" s="102"/>
      <c r="M38" s="61"/>
      <c r="N38" s="107"/>
      <c r="O38" s="61"/>
      <c r="P38" s="107"/>
      <c r="Q38" s="108"/>
      <c r="R38" s="102"/>
      <c r="S38" s="61"/>
    </row>
    <row r="39" spans="1:20">
      <c r="A39" s="13">
        <v>45174</v>
      </c>
      <c r="B39" s="105"/>
      <c r="C39" s="62"/>
      <c r="D39" s="105"/>
      <c r="E39" s="62"/>
      <c r="F39" s="105"/>
      <c r="G39" s="62"/>
      <c r="H39" s="89"/>
      <c r="I39" s="115"/>
      <c r="J39" s="105"/>
      <c r="K39" s="62">
        <v>1287</v>
      </c>
      <c r="L39" s="105"/>
      <c r="M39" s="62"/>
      <c r="N39" s="89"/>
      <c r="O39" s="62"/>
      <c r="P39" s="89"/>
      <c r="Q39" s="115"/>
      <c r="R39" s="105"/>
      <c r="S39" s="62"/>
    </row>
    <row r="40" spans="1:20" hidden="1">
      <c r="A40" s="13"/>
      <c r="B40" s="103"/>
      <c r="C40" s="19"/>
      <c r="D40" s="103"/>
      <c r="E40" s="19"/>
      <c r="F40" s="103"/>
      <c r="G40" s="19"/>
      <c r="H40" s="109"/>
      <c r="I40" s="65"/>
      <c r="J40" s="103"/>
      <c r="K40" s="19"/>
      <c r="L40" s="103"/>
      <c r="M40" s="19"/>
      <c r="N40" s="109"/>
      <c r="O40" s="19"/>
      <c r="P40" s="109"/>
      <c r="Q40" s="65"/>
      <c r="R40" s="103"/>
      <c r="S40" s="19"/>
    </row>
    <row r="41" spans="1:20">
      <c r="A41" s="13">
        <v>45182</v>
      </c>
      <c r="B41" s="103"/>
      <c r="C41" s="19"/>
      <c r="D41" s="103"/>
      <c r="E41" s="19"/>
      <c r="F41" s="103"/>
      <c r="G41" s="19"/>
      <c r="H41" s="109"/>
      <c r="I41" s="65"/>
      <c r="J41" s="103"/>
      <c r="K41" s="19"/>
      <c r="L41" s="103"/>
      <c r="M41" s="19"/>
      <c r="N41" s="109"/>
      <c r="O41" s="19"/>
      <c r="P41" s="109"/>
      <c r="Q41" s="65"/>
      <c r="R41" s="105">
        <v>7804</v>
      </c>
      <c r="S41" s="19">
        <v>25796.121999999999</v>
      </c>
    </row>
    <row r="42" spans="1:20">
      <c r="A42" s="13">
        <v>45195</v>
      </c>
      <c r="B42" s="103"/>
      <c r="C42" s="19"/>
      <c r="D42" s="103">
        <v>536</v>
      </c>
      <c r="E42" s="19">
        <v>1714.298</v>
      </c>
      <c r="F42" s="103"/>
      <c r="G42" s="19"/>
      <c r="H42" s="109"/>
      <c r="I42" s="65"/>
      <c r="J42" s="103"/>
      <c r="K42" s="19"/>
      <c r="L42" s="103"/>
      <c r="M42" s="19"/>
      <c r="N42" s="109"/>
      <c r="O42" s="19"/>
      <c r="P42" s="109"/>
      <c r="Q42" s="65"/>
      <c r="R42" s="103"/>
      <c r="S42" s="19"/>
    </row>
    <row r="43" spans="1:20" ht="15">
      <c r="A43" s="7">
        <v>45200</v>
      </c>
      <c r="B43" s="102"/>
      <c r="C43" s="61"/>
      <c r="D43" s="102"/>
      <c r="E43" s="61"/>
      <c r="F43" s="102"/>
      <c r="G43" s="61"/>
      <c r="H43" s="107"/>
      <c r="I43" s="108"/>
      <c r="J43" s="102"/>
      <c r="K43" s="61"/>
      <c r="L43" s="102"/>
      <c r="M43" s="61"/>
      <c r="N43" s="107"/>
      <c r="O43" s="61"/>
      <c r="P43" s="107"/>
      <c r="Q43" s="108"/>
      <c r="R43" s="102"/>
      <c r="S43" s="61"/>
    </row>
    <row r="44" spans="1:20">
      <c r="A44" s="13">
        <v>45209</v>
      </c>
      <c r="B44" s="103"/>
      <c r="C44" s="19"/>
      <c r="D44" s="103"/>
      <c r="E44" s="19"/>
      <c r="F44" s="103"/>
      <c r="G44" s="19"/>
      <c r="H44" s="109"/>
      <c r="I44" s="42"/>
      <c r="J44" s="103"/>
      <c r="K44" s="14"/>
      <c r="L44" s="103"/>
      <c r="M44" s="14"/>
      <c r="N44" s="109"/>
      <c r="O44" s="19"/>
      <c r="P44" s="109"/>
      <c r="Q44" s="65"/>
      <c r="R44" s="105">
        <v>7804</v>
      </c>
      <c r="S44" s="14">
        <v>25773.49</v>
      </c>
      <c r="T44" s="63"/>
    </row>
    <row r="45" spans="1:20" ht="15">
      <c r="A45" s="7">
        <v>45231</v>
      </c>
      <c r="B45" s="102"/>
      <c r="C45" s="61"/>
      <c r="D45" s="102"/>
      <c r="E45" s="61"/>
      <c r="F45" s="102"/>
      <c r="G45" s="61"/>
      <c r="H45" s="107"/>
      <c r="I45" s="108"/>
      <c r="J45" s="102"/>
      <c r="K45" s="61"/>
      <c r="L45" s="102"/>
      <c r="M45" s="61"/>
      <c r="N45" s="107"/>
      <c r="O45" s="61"/>
      <c r="P45" s="107"/>
      <c r="Q45" s="108"/>
      <c r="R45" s="102"/>
      <c r="S45" s="61"/>
    </row>
    <row r="46" spans="1:20">
      <c r="A46" s="13">
        <v>45237</v>
      </c>
      <c r="B46" s="105"/>
      <c r="C46" s="62"/>
      <c r="D46" s="105"/>
      <c r="E46" s="62"/>
      <c r="F46" s="105"/>
      <c r="G46" s="62"/>
      <c r="H46" s="89"/>
      <c r="I46" s="115"/>
      <c r="J46" s="105"/>
      <c r="K46" s="62"/>
      <c r="L46" s="105"/>
      <c r="M46" s="62"/>
      <c r="N46" s="89"/>
      <c r="O46" s="62"/>
      <c r="P46" s="89"/>
      <c r="Q46" s="115"/>
      <c r="R46" s="105">
        <v>8980.85</v>
      </c>
      <c r="S46" s="62">
        <v>29615.251</v>
      </c>
    </row>
    <row r="47" spans="1:20">
      <c r="A47" s="13">
        <v>45252</v>
      </c>
      <c r="B47" s="103"/>
      <c r="C47" s="19"/>
      <c r="D47" s="103"/>
      <c r="E47" s="19"/>
      <c r="F47" s="103"/>
      <c r="G47" s="19"/>
      <c r="H47" s="109"/>
      <c r="I47" s="42"/>
      <c r="J47" s="103"/>
      <c r="K47" s="19">
        <v>504.71</v>
      </c>
      <c r="L47" s="103"/>
      <c r="M47" s="19"/>
      <c r="N47" s="109"/>
      <c r="O47" s="19"/>
      <c r="P47" s="109"/>
      <c r="Q47" s="65"/>
      <c r="R47" s="103"/>
      <c r="S47" s="19"/>
    </row>
    <row r="48" spans="1:20">
      <c r="A48" s="13">
        <v>45259</v>
      </c>
      <c r="B48" s="103"/>
      <c r="C48" s="19"/>
      <c r="D48" s="103"/>
      <c r="E48" s="19"/>
      <c r="F48" s="103"/>
      <c r="G48" s="19"/>
      <c r="H48" s="109"/>
      <c r="I48" s="42"/>
      <c r="J48" s="103"/>
      <c r="K48" s="19">
        <f>SUM(1345.895*2)</f>
        <v>2691.79</v>
      </c>
      <c r="L48" s="103"/>
      <c r="M48" s="19"/>
      <c r="N48" s="109"/>
      <c r="O48" s="19"/>
      <c r="P48" s="109"/>
      <c r="Q48" s="65"/>
      <c r="R48" s="103"/>
      <c r="S48" s="19"/>
    </row>
    <row r="49" spans="1:19">
      <c r="A49" s="13">
        <v>45260</v>
      </c>
      <c r="B49" s="103"/>
      <c r="C49" s="19"/>
      <c r="D49" s="103"/>
      <c r="E49" s="19"/>
      <c r="F49" s="103"/>
      <c r="G49" s="19"/>
      <c r="H49" s="109"/>
      <c r="I49" s="42"/>
      <c r="J49" s="103"/>
      <c r="K49" s="19">
        <v>3000</v>
      </c>
      <c r="L49" s="103"/>
      <c r="M49" s="19"/>
      <c r="N49" s="109"/>
      <c r="O49" s="19"/>
      <c r="P49" s="109"/>
      <c r="Q49" s="65"/>
      <c r="R49" s="105">
        <v>52245</v>
      </c>
      <c r="S49" s="19">
        <v>174325.89199999999</v>
      </c>
    </row>
    <row r="50" spans="1:19" ht="15">
      <c r="A50" s="7">
        <v>45261</v>
      </c>
      <c r="B50" s="102"/>
      <c r="C50" s="61"/>
      <c r="D50" s="102"/>
      <c r="E50" s="61"/>
      <c r="F50" s="102"/>
      <c r="G50" s="61"/>
      <c r="H50" s="107"/>
      <c r="I50" s="108"/>
      <c r="J50" s="102"/>
      <c r="K50" s="61"/>
      <c r="L50" s="102"/>
      <c r="M50" s="61"/>
      <c r="N50" s="107"/>
      <c r="O50" s="61"/>
      <c r="P50" s="107"/>
      <c r="Q50" s="108"/>
      <c r="R50" s="102"/>
      <c r="S50" s="61"/>
    </row>
    <row r="51" spans="1:19">
      <c r="A51" s="13">
        <v>45267</v>
      </c>
      <c r="B51" s="103"/>
      <c r="C51" s="19"/>
      <c r="D51" s="103"/>
      <c r="E51" s="19"/>
      <c r="F51" s="103"/>
      <c r="G51" s="19"/>
      <c r="H51" s="109"/>
      <c r="I51" s="65"/>
      <c r="J51" s="103"/>
      <c r="K51" s="19">
        <v>504.71</v>
      </c>
      <c r="L51" s="103"/>
      <c r="M51" s="19"/>
      <c r="N51" s="109"/>
      <c r="O51" s="19"/>
      <c r="P51" s="109"/>
      <c r="Q51" s="65"/>
      <c r="R51" s="103"/>
      <c r="S51" s="19"/>
    </row>
    <row r="52" spans="1:19">
      <c r="A52" s="13">
        <v>45272</v>
      </c>
      <c r="B52" s="103"/>
      <c r="C52" s="19"/>
      <c r="D52" s="103"/>
      <c r="E52" s="19"/>
      <c r="F52" s="103"/>
      <c r="G52" s="19"/>
      <c r="H52" s="109"/>
      <c r="I52" s="65"/>
      <c r="J52" s="103"/>
      <c r="K52" s="19">
        <v>841.18499999999995</v>
      </c>
      <c r="L52" s="103"/>
      <c r="M52" s="19"/>
      <c r="N52" s="109"/>
      <c r="O52" s="19"/>
      <c r="P52" s="109"/>
      <c r="Q52" s="65"/>
      <c r="R52" s="105">
        <v>15918</v>
      </c>
      <c r="S52" s="19">
        <v>52647.192999999999</v>
      </c>
    </row>
    <row r="53" spans="1:19">
      <c r="A53" s="13">
        <v>45281</v>
      </c>
      <c r="B53" s="103"/>
      <c r="C53" s="19"/>
      <c r="D53" s="103"/>
      <c r="E53" s="19"/>
      <c r="F53" s="103"/>
      <c r="G53" s="19"/>
      <c r="H53" s="109"/>
      <c r="I53" s="65"/>
      <c r="J53" s="103"/>
      <c r="K53" s="19"/>
      <c r="L53" s="103"/>
      <c r="M53" s="19"/>
      <c r="N53" s="109"/>
      <c r="O53" s="19"/>
      <c r="P53" s="109"/>
      <c r="Q53" s="65"/>
      <c r="R53" s="105"/>
      <c r="S53" s="19"/>
    </row>
    <row r="54" spans="1:19">
      <c r="A54" s="13">
        <v>45282</v>
      </c>
      <c r="B54" s="103"/>
      <c r="C54" s="19"/>
      <c r="D54" s="103"/>
      <c r="E54" s="19"/>
      <c r="F54" s="103"/>
      <c r="G54" s="19"/>
      <c r="H54" s="109"/>
      <c r="I54" s="65"/>
      <c r="J54" s="103"/>
      <c r="K54" s="19"/>
      <c r="L54" s="103"/>
      <c r="M54" s="19"/>
      <c r="N54" s="109"/>
      <c r="O54" s="19"/>
      <c r="P54" s="109">
        <v>50000</v>
      </c>
      <c r="Q54" s="65">
        <v>164203.23699999999</v>
      </c>
      <c r="R54" s="105"/>
      <c r="S54" s="19"/>
    </row>
    <row r="55" spans="1:19" ht="15">
      <c r="A55" s="20" t="s">
        <v>8</v>
      </c>
      <c r="B55" s="21">
        <f t="shared" ref="B55:E55" si="0">SUM(B4:B52)</f>
        <v>4000</v>
      </c>
      <c r="C55" s="22">
        <f t="shared" si="0"/>
        <v>12881.554</v>
      </c>
      <c r="D55" s="21">
        <f t="shared" si="0"/>
        <v>3072</v>
      </c>
      <c r="E55" s="22">
        <f t="shared" si="0"/>
        <v>9935.8730000000014</v>
      </c>
      <c r="F55" s="21">
        <f t="shared" ref="F55:S55" si="1">SUM(F4:F52)</f>
        <v>0</v>
      </c>
      <c r="G55" s="22">
        <f t="shared" si="1"/>
        <v>0</v>
      </c>
      <c r="H55" s="38">
        <f t="shared" si="1"/>
        <v>0</v>
      </c>
      <c r="I55" s="43">
        <f>SUM(I5:I54)</f>
        <v>0</v>
      </c>
      <c r="J55" s="21">
        <f t="shared" si="1"/>
        <v>0</v>
      </c>
      <c r="K55" s="22">
        <f t="shared" si="1"/>
        <v>212900.81199999998</v>
      </c>
      <c r="L55" s="21">
        <f t="shared" si="1"/>
        <v>165000</v>
      </c>
      <c r="M55" s="22">
        <f>SUM(M6:M54)</f>
        <v>539442.38799999992</v>
      </c>
      <c r="N55" s="38">
        <f t="shared" si="1"/>
        <v>75000</v>
      </c>
      <c r="O55" s="22">
        <f t="shared" si="1"/>
        <v>244760.91399999999</v>
      </c>
      <c r="P55" s="38">
        <f>P54</f>
        <v>50000</v>
      </c>
      <c r="Q55" s="43">
        <f>SUM(Q5:Q54)</f>
        <v>164203.23699999999</v>
      </c>
      <c r="R55" s="21">
        <f t="shared" si="1"/>
        <v>150177.85</v>
      </c>
      <c r="S55" s="22">
        <f t="shared" si="1"/>
        <v>497617.96799999999</v>
      </c>
    </row>
    <row r="56" spans="1:19" s="1" customFormat="1" ht="15">
      <c r="A56" s="23"/>
      <c r="B56" s="30"/>
      <c r="C56" s="30"/>
      <c r="D56" s="54"/>
      <c r="E56" s="55"/>
      <c r="F56" s="24"/>
      <c r="G56" s="24"/>
      <c r="H56" s="24"/>
      <c r="I56" s="24"/>
      <c r="J56" s="24"/>
      <c r="K56" s="24"/>
      <c r="L56" s="24"/>
      <c r="M56" s="24"/>
      <c r="N56" s="24"/>
      <c r="O56" s="24"/>
      <c r="P56" s="24"/>
      <c r="Q56" s="24"/>
      <c r="R56" s="24"/>
      <c r="S56" s="24"/>
    </row>
    <row r="57" spans="1:19" ht="15">
      <c r="A57" s="25" t="s">
        <v>9</v>
      </c>
      <c r="B57" s="32">
        <f>B55+F55+H55+J55+N55+P55+R55+L55+D55</f>
        <v>447249.85</v>
      </c>
      <c r="C57" s="32">
        <f>C55+G55+I55+K55+O55+Q55+S55+M55+E55</f>
        <v>1681742.7459999996</v>
      </c>
      <c r="D57" s="56"/>
      <c r="E57" s="48"/>
      <c r="F57" s="34"/>
      <c r="G57" s="34"/>
      <c r="H57" s="35"/>
      <c r="I57" s="35"/>
      <c r="J57" s="35"/>
      <c r="K57" s="35"/>
      <c r="L57" s="35"/>
      <c r="M57" s="35"/>
      <c r="N57" s="35"/>
      <c r="O57" s="35"/>
      <c r="P57" s="35"/>
      <c r="Q57" s="35"/>
      <c r="R57" s="35"/>
      <c r="S57" s="35"/>
    </row>
    <row r="58" spans="1:19">
      <c r="F58" s="1"/>
      <c r="G58" s="1"/>
    </row>
    <row r="59" spans="1:19" ht="30" customHeight="1">
      <c r="A59" s="44" t="s">
        <v>10</v>
      </c>
      <c r="B59" s="226" t="s">
        <v>11</v>
      </c>
      <c r="C59" s="226"/>
      <c r="D59" s="226"/>
      <c r="E59" s="226"/>
      <c r="F59" s="226" t="s">
        <v>36</v>
      </c>
      <c r="G59" s="226"/>
      <c r="H59" s="44" t="s">
        <v>37</v>
      </c>
      <c r="I59" s="58"/>
      <c r="J59" s="227"/>
      <c r="K59" s="227"/>
      <c r="L59" s="59"/>
      <c r="M59" s="59"/>
      <c r="N59" s="227"/>
      <c r="O59" s="227"/>
    </row>
    <row r="60" spans="1:19" ht="65.099999999999994" customHeight="1">
      <c r="A60" s="13" t="s">
        <v>38</v>
      </c>
      <c r="B60" s="206" t="s">
        <v>39</v>
      </c>
      <c r="C60" s="206"/>
      <c r="D60" s="206"/>
      <c r="E60" s="206"/>
      <c r="F60" s="206" t="s">
        <v>40</v>
      </c>
      <c r="G60" s="206"/>
      <c r="H60" s="206" t="s">
        <v>17</v>
      </c>
      <c r="I60" s="60"/>
    </row>
    <row r="61" spans="1:19" ht="80.099999999999994" customHeight="1">
      <c r="A61" s="13"/>
      <c r="B61" s="206"/>
      <c r="C61" s="206"/>
      <c r="D61" s="206"/>
      <c r="E61" s="206"/>
      <c r="F61" s="206"/>
      <c r="G61" s="206"/>
      <c r="H61" s="206"/>
      <c r="I61" s="60"/>
    </row>
    <row r="62" spans="1:19" ht="50.1" customHeight="1">
      <c r="A62" s="214" t="s">
        <v>41</v>
      </c>
      <c r="B62" s="206" t="s">
        <v>42</v>
      </c>
      <c r="C62" s="206"/>
      <c r="D62" s="206"/>
      <c r="E62" s="206"/>
      <c r="F62" s="206" t="s">
        <v>40</v>
      </c>
      <c r="G62" s="206"/>
      <c r="H62" s="206" t="s">
        <v>17</v>
      </c>
      <c r="I62" s="60"/>
    </row>
    <row r="63" spans="1:19" ht="50.1" customHeight="1">
      <c r="A63" s="215"/>
      <c r="B63" s="206"/>
      <c r="C63" s="206"/>
      <c r="D63" s="206"/>
      <c r="E63" s="206"/>
      <c r="F63" s="206"/>
      <c r="G63" s="206"/>
      <c r="H63" s="206"/>
      <c r="I63" s="60"/>
    </row>
    <row r="64" spans="1:19" ht="50.1" customHeight="1">
      <c r="A64" s="216" t="s">
        <v>14</v>
      </c>
      <c r="B64" s="207" t="s">
        <v>15</v>
      </c>
      <c r="C64" s="207"/>
      <c r="D64" s="207"/>
      <c r="E64" s="207"/>
      <c r="F64" s="207" t="s">
        <v>16</v>
      </c>
      <c r="G64" s="207"/>
      <c r="H64" s="206" t="s">
        <v>17</v>
      </c>
      <c r="I64" s="53"/>
    </row>
    <row r="65" spans="1:9" ht="50.1" customHeight="1">
      <c r="A65" s="217"/>
      <c r="B65" s="207"/>
      <c r="C65" s="207"/>
      <c r="D65" s="207"/>
      <c r="E65" s="207"/>
      <c r="F65" s="207"/>
      <c r="G65" s="207"/>
      <c r="H65" s="206"/>
      <c r="I65" s="53"/>
    </row>
    <row r="66" spans="1:9" ht="50.1" customHeight="1">
      <c r="A66" s="218" t="s">
        <v>43</v>
      </c>
      <c r="B66" s="206" t="s">
        <v>44</v>
      </c>
      <c r="C66" s="206"/>
      <c r="D66" s="206"/>
      <c r="E66" s="206"/>
      <c r="F66" s="206" t="s">
        <v>45</v>
      </c>
      <c r="G66" s="206"/>
      <c r="H66" s="206" t="s">
        <v>17</v>
      </c>
      <c r="I66" s="53"/>
    </row>
    <row r="67" spans="1:9" ht="71.099999999999994" customHeight="1">
      <c r="A67" s="219"/>
      <c r="B67" s="206"/>
      <c r="C67" s="206"/>
      <c r="D67" s="206"/>
      <c r="E67" s="206"/>
      <c r="F67" s="206"/>
      <c r="G67" s="206"/>
      <c r="H67" s="206"/>
      <c r="I67" s="53"/>
    </row>
    <row r="68" spans="1:9" ht="68.099999999999994" customHeight="1">
      <c r="A68" s="220" t="s">
        <v>18</v>
      </c>
      <c r="B68" s="207" t="s">
        <v>19</v>
      </c>
      <c r="C68" s="207"/>
      <c r="D68" s="207"/>
      <c r="E68" s="207"/>
      <c r="F68" s="207" t="s">
        <v>20</v>
      </c>
      <c r="G68" s="207"/>
      <c r="H68" s="207" t="s">
        <v>21</v>
      </c>
      <c r="I68" s="53"/>
    </row>
    <row r="69" spans="1:9" ht="69" customHeight="1">
      <c r="A69" s="221"/>
      <c r="B69" s="207"/>
      <c r="C69" s="207"/>
      <c r="D69" s="207"/>
      <c r="E69" s="207"/>
      <c r="F69" s="207"/>
      <c r="G69" s="207"/>
      <c r="H69" s="207"/>
      <c r="I69" s="53"/>
    </row>
    <row r="70" spans="1:9" ht="50.1" customHeight="1">
      <c r="A70" s="222" t="s">
        <v>35</v>
      </c>
      <c r="B70" s="207" t="s">
        <v>46</v>
      </c>
      <c r="C70" s="207"/>
      <c r="D70" s="207"/>
      <c r="E70" s="207"/>
      <c r="F70" s="207" t="s">
        <v>47</v>
      </c>
      <c r="G70" s="207"/>
      <c r="H70" s="207" t="s">
        <v>17</v>
      </c>
      <c r="I70" s="53"/>
    </row>
    <row r="71" spans="1:9" ht="50.1" customHeight="1">
      <c r="A71" s="223"/>
      <c r="B71" s="207"/>
      <c r="C71" s="207"/>
      <c r="D71" s="207"/>
      <c r="E71" s="207"/>
      <c r="F71" s="207"/>
      <c r="G71" s="207"/>
      <c r="H71" s="207"/>
      <c r="I71" s="53"/>
    </row>
    <row r="72" spans="1:9" ht="50.1" customHeight="1">
      <c r="A72" s="208" t="s">
        <v>22</v>
      </c>
      <c r="B72" s="207" t="s">
        <v>23</v>
      </c>
      <c r="C72" s="207"/>
      <c r="D72" s="207"/>
      <c r="E72" s="207"/>
      <c r="F72" s="207" t="s">
        <v>24</v>
      </c>
      <c r="G72" s="207"/>
      <c r="H72" s="207" t="s">
        <v>17</v>
      </c>
      <c r="I72" s="53"/>
    </row>
    <row r="73" spans="1:9" ht="50.1" customHeight="1">
      <c r="A73" s="209"/>
      <c r="B73" s="207"/>
      <c r="C73" s="207"/>
      <c r="D73" s="207"/>
      <c r="E73" s="207"/>
      <c r="F73" s="207"/>
      <c r="G73" s="207"/>
      <c r="H73" s="207"/>
      <c r="I73" s="53"/>
    </row>
    <row r="74" spans="1:9" ht="50.1" customHeight="1">
      <c r="A74" s="210" t="s">
        <v>25</v>
      </c>
      <c r="B74" s="207" t="s">
        <v>26</v>
      </c>
      <c r="C74" s="207"/>
      <c r="D74" s="207"/>
      <c r="E74" s="207"/>
      <c r="F74" s="207" t="s">
        <v>27</v>
      </c>
      <c r="G74" s="207"/>
      <c r="H74" s="207" t="s">
        <v>17</v>
      </c>
      <c r="I74" s="53"/>
    </row>
    <row r="75" spans="1:9" ht="50.1" customHeight="1">
      <c r="A75" s="211"/>
      <c r="B75" s="207"/>
      <c r="C75" s="207"/>
      <c r="D75" s="207"/>
      <c r="E75" s="207"/>
      <c r="F75" s="207"/>
      <c r="G75" s="207"/>
      <c r="H75" s="207"/>
      <c r="I75" s="53"/>
    </row>
    <row r="76" spans="1:9" ht="50.1" customHeight="1">
      <c r="A76" s="212" t="s">
        <v>28</v>
      </c>
      <c r="B76" s="207" t="s">
        <v>29</v>
      </c>
      <c r="C76" s="207"/>
      <c r="D76" s="207"/>
      <c r="E76" s="207"/>
      <c r="F76" s="207" t="s">
        <v>30</v>
      </c>
      <c r="G76" s="207"/>
      <c r="H76" s="207" t="s">
        <v>17</v>
      </c>
      <c r="I76" s="53"/>
    </row>
    <row r="77" spans="1:9" ht="50.1" customHeight="1">
      <c r="A77" s="213"/>
      <c r="B77" s="207"/>
      <c r="C77" s="207"/>
      <c r="D77" s="207"/>
      <c r="E77" s="207"/>
      <c r="F77" s="207"/>
      <c r="G77" s="207"/>
      <c r="H77" s="207"/>
      <c r="I77" s="53"/>
    </row>
  </sheetData>
  <mergeCells count="48">
    <mergeCell ref="L2:M2"/>
    <mergeCell ref="N2:O2"/>
    <mergeCell ref="P2:Q2"/>
    <mergeCell ref="R2:S2"/>
    <mergeCell ref="B59:E59"/>
    <mergeCell ref="F59:G59"/>
    <mergeCell ref="J59:K59"/>
    <mergeCell ref="N59:O59"/>
    <mergeCell ref="B2:C2"/>
    <mergeCell ref="D2:E2"/>
    <mergeCell ref="F2:G2"/>
    <mergeCell ref="H2:I2"/>
    <mergeCell ref="J2:K2"/>
    <mergeCell ref="A62:A63"/>
    <mergeCell ref="A64:A65"/>
    <mergeCell ref="A66:A67"/>
    <mergeCell ref="A68:A69"/>
    <mergeCell ref="A70:A71"/>
    <mergeCell ref="A72:A73"/>
    <mergeCell ref="A74:A75"/>
    <mergeCell ref="A76:A77"/>
    <mergeCell ref="H60:H61"/>
    <mergeCell ref="H62:H63"/>
    <mergeCell ref="H64:H65"/>
    <mergeCell ref="H66:H67"/>
    <mergeCell ref="H68:H69"/>
    <mergeCell ref="H70:H71"/>
    <mergeCell ref="H72:H73"/>
    <mergeCell ref="H74:H75"/>
    <mergeCell ref="H76:H77"/>
    <mergeCell ref="F68:G69"/>
    <mergeCell ref="F64:G65"/>
    <mergeCell ref="F66:G67"/>
    <mergeCell ref="F60:G61"/>
    <mergeCell ref="B60:E61"/>
    <mergeCell ref="B62:E63"/>
    <mergeCell ref="B64:E65"/>
    <mergeCell ref="B66:E67"/>
    <mergeCell ref="F76:G77"/>
    <mergeCell ref="B76:E77"/>
    <mergeCell ref="B74:E75"/>
    <mergeCell ref="B72:E73"/>
    <mergeCell ref="F62:G63"/>
    <mergeCell ref="B68:E69"/>
    <mergeCell ref="F70:G71"/>
    <mergeCell ref="F74:G75"/>
    <mergeCell ref="F72:G73"/>
    <mergeCell ref="B70:E71"/>
  </mergeCells>
  <pageMargins left="0.7" right="0.7" top="0.75" bottom="0.75" header="0.3" footer="0.3"/>
  <pageSetup paperSize="9" orientation="portrait" verticalDpi="360"/>
  <ignoredErrors>
    <ignoredError sqref="I55"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zoomScale="80" zoomScaleNormal="80" workbookViewId="0">
      <selection activeCell="X30" sqref="X30"/>
    </sheetView>
  </sheetViews>
  <sheetFormatPr baseColWidth="10" defaultColWidth="11" defaultRowHeight="13.5"/>
  <cols>
    <col min="1" max="1" width="25.5" customWidth="1"/>
    <col min="2" max="2" width="18.375" customWidth="1"/>
    <col min="3" max="3" width="16.625" customWidth="1"/>
    <col min="4" max="4" width="16.875" customWidth="1"/>
    <col min="5" max="5" width="14.125" customWidth="1"/>
    <col min="6" max="6" width="18.375" customWidth="1"/>
    <col min="7" max="7" width="14.125" customWidth="1"/>
    <col min="8" max="8" width="18.625" customWidth="1"/>
    <col min="9" max="9" width="17.375" customWidth="1"/>
    <col min="10" max="10" width="18.625" customWidth="1"/>
    <col min="11" max="13" width="17.375" customWidth="1"/>
    <col min="14" max="15" width="15.375" customWidth="1"/>
    <col min="16" max="16" width="13.875" customWidth="1"/>
    <col min="17" max="17" width="13.375" customWidth="1"/>
  </cols>
  <sheetData>
    <row r="1" spans="1:17" ht="63.6" customHeight="1">
      <c r="A1" s="2" t="s">
        <v>48</v>
      </c>
    </row>
    <row r="2" spans="1:17" ht="16.5">
      <c r="A2" s="3"/>
      <c r="B2" s="228" t="s">
        <v>32</v>
      </c>
      <c r="C2" s="229"/>
      <c r="D2" s="230" t="s">
        <v>33</v>
      </c>
      <c r="E2" s="231"/>
      <c r="F2" s="180" t="s">
        <v>1</v>
      </c>
      <c r="G2" s="181"/>
      <c r="H2" s="232" t="s">
        <v>34</v>
      </c>
      <c r="I2" s="233"/>
      <c r="J2" s="182" t="s">
        <v>2</v>
      </c>
      <c r="K2" s="183"/>
      <c r="L2" s="178" t="s">
        <v>35</v>
      </c>
      <c r="M2" s="179"/>
      <c r="N2" s="241" t="s">
        <v>49</v>
      </c>
      <c r="O2" s="242"/>
      <c r="P2" s="243" t="s">
        <v>50</v>
      </c>
      <c r="Q2" s="244"/>
    </row>
    <row r="3" spans="1:17">
      <c r="A3" s="4"/>
      <c r="B3" s="5" t="s">
        <v>6</v>
      </c>
      <c r="C3" s="6" t="s">
        <v>7</v>
      </c>
      <c r="D3" s="5"/>
      <c r="E3" s="6"/>
      <c r="F3" s="5" t="s">
        <v>6</v>
      </c>
      <c r="G3" s="6" t="s">
        <v>7</v>
      </c>
      <c r="H3" s="36" t="s">
        <v>6</v>
      </c>
      <c r="I3" s="39" t="s">
        <v>7</v>
      </c>
      <c r="J3" s="5" t="s">
        <v>6</v>
      </c>
      <c r="K3" s="6" t="s">
        <v>7</v>
      </c>
      <c r="L3" s="5"/>
      <c r="M3" s="6"/>
      <c r="N3" s="36" t="s">
        <v>6</v>
      </c>
      <c r="O3" s="6" t="s">
        <v>7</v>
      </c>
      <c r="P3" s="36" t="s">
        <v>6</v>
      </c>
      <c r="Q3" s="6" t="s">
        <v>7</v>
      </c>
    </row>
    <row r="4" spans="1:17" ht="15">
      <c r="A4" s="7">
        <v>44562</v>
      </c>
      <c r="B4" s="8"/>
      <c r="C4" s="9"/>
      <c r="D4" s="8"/>
      <c r="E4" s="9"/>
      <c r="F4" s="8"/>
      <c r="G4" s="9"/>
      <c r="H4" s="37"/>
      <c r="I4" s="40"/>
      <c r="J4" s="8"/>
      <c r="K4" s="9"/>
      <c r="L4" s="8"/>
      <c r="M4" s="9"/>
      <c r="N4" s="37"/>
      <c r="O4" s="9"/>
      <c r="P4" s="37"/>
      <c r="Q4" s="9"/>
    </row>
    <row r="5" spans="1:17">
      <c r="A5" s="13">
        <v>44581</v>
      </c>
      <c r="B5" s="103"/>
      <c r="C5" s="19"/>
      <c r="D5" s="103"/>
      <c r="E5" s="19"/>
      <c r="F5" s="103"/>
      <c r="G5" s="19"/>
      <c r="H5" s="109">
        <v>20000</v>
      </c>
      <c r="I5" s="65">
        <v>63708.237000000001</v>
      </c>
      <c r="J5" s="103"/>
      <c r="K5" s="19"/>
      <c r="L5" s="103"/>
      <c r="M5" s="19"/>
      <c r="N5" s="109"/>
      <c r="O5" s="19"/>
      <c r="P5" s="109"/>
      <c r="Q5" s="19"/>
    </row>
    <row r="6" spans="1:17">
      <c r="A6" s="13">
        <v>44587</v>
      </c>
      <c r="B6" s="110"/>
      <c r="C6" s="88"/>
      <c r="D6" s="110"/>
      <c r="E6" s="88"/>
      <c r="F6" s="110"/>
      <c r="G6" s="88"/>
      <c r="H6" s="111"/>
      <c r="I6" s="112"/>
      <c r="J6" s="110"/>
      <c r="K6" s="114">
        <f>SUM(1324.503+13245.503+12480)</f>
        <v>27050.006000000001</v>
      </c>
      <c r="L6" s="110"/>
      <c r="M6" s="88"/>
      <c r="N6" s="111"/>
      <c r="O6" s="88"/>
      <c r="P6" s="111"/>
      <c r="Q6" s="88"/>
    </row>
    <row r="7" spans="1:17" ht="15">
      <c r="A7" s="7">
        <v>44593</v>
      </c>
      <c r="B7" s="102"/>
      <c r="C7" s="61"/>
      <c r="D7" s="102"/>
      <c r="E7" s="61"/>
      <c r="F7" s="102"/>
      <c r="G7" s="61"/>
      <c r="H7" s="107"/>
      <c r="I7" s="108"/>
      <c r="J7" s="102"/>
      <c r="K7" s="61"/>
      <c r="L7" s="102"/>
      <c r="M7" s="61"/>
      <c r="N7" s="107"/>
      <c r="O7" s="61"/>
      <c r="P7" s="107"/>
      <c r="Q7" s="61"/>
    </row>
    <row r="8" spans="1:17" s="1" customFormat="1">
      <c r="A8" s="13">
        <v>44596</v>
      </c>
      <c r="B8" s="105"/>
      <c r="C8" s="62"/>
      <c r="D8" s="105"/>
      <c r="E8" s="62"/>
      <c r="F8" s="105"/>
      <c r="G8" s="62"/>
      <c r="H8" s="89"/>
      <c r="I8" s="115"/>
      <c r="J8" s="105"/>
      <c r="K8" s="62">
        <f>SUM(231.788+662.251)</f>
        <v>894.03899999999999</v>
      </c>
      <c r="L8" s="105"/>
      <c r="M8" s="62"/>
      <c r="N8" s="89"/>
      <c r="O8" s="62"/>
      <c r="P8" s="89"/>
      <c r="Q8" s="62"/>
    </row>
    <row r="9" spans="1:17" s="1" customFormat="1">
      <c r="A9" s="13">
        <v>44601</v>
      </c>
      <c r="B9" s="105"/>
      <c r="C9" s="62"/>
      <c r="D9" s="105"/>
      <c r="E9" s="62"/>
      <c r="F9" s="105"/>
      <c r="G9" s="62"/>
      <c r="H9" s="89"/>
      <c r="I9" s="115"/>
      <c r="J9" s="105"/>
      <c r="K9" s="62">
        <v>1320</v>
      </c>
      <c r="L9" s="105"/>
      <c r="M9" s="62"/>
      <c r="N9" s="89"/>
      <c r="O9" s="62"/>
      <c r="P9" s="89"/>
      <c r="Q9" s="62"/>
    </row>
    <row r="10" spans="1:17" s="1" customFormat="1">
      <c r="A10" s="13">
        <v>44602</v>
      </c>
      <c r="B10" s="105"/>
      <c r="C10" s="62"/>
      <c r="D10" s="105">
        <v>2000</v>
      </c>
      <c r="E10" s="62">
        <v>6390.8239999999996</v>
      </c>
      <c r="F10" s="105"/>
      <c r="G10" s="62"/>
      <c r="H10" s="89"/>
      <c r="I10" s="115"/>
      <c r="J10" s="105"/>
      <c r="K10" s="62"/>
      <c r="L10" s="105"/>
      <c r="M10" s="62"/>
      <c r="N10" s="89"/>
      <c r="O10" s="62"/>
      <c r="P10" s="89"/>
      <c r="Q10" s="62"/>
    </row>
    <row r="11" spans="1:17" s="1" customFormat="1">
      <c r="A11" s="13">
        <v>44606</v>
      </c>
      <c r="B11" s="105"/>
      <c r="C11" s="62"/>
      <c r="D11" s="105"/>
      <c r="E11" s="62"/>
      <c r="F11" s="105"/>
      <c r="G11" s="62"/>
      <c r="H11" s="89"/>
      <c r="I11" s="115"/>
      <c r="J11" s="105"/>
      <c r="K11" s="62">
        <v>1324.5029999999999</v>
      </c>
      <c r="L11" s="105"/>
      <c r="M11" s="62"/>
      <c r="N11" s="89"/>
      <c r="O11" s="62"/>
      <c r="P11" s="89"/>
      <c r="Q11" s="62"/>
    </row>
    <row r="12" spans="1:17">
      <c r="A12" s="13">
        <v>44614</v>
      </c>
      <c r="B12" s="103"/>
      <c r="C12" s="19"/>
      <c r="D12" s="103"/>
      <c r="E12" s="19"/>
      <c r="F12" s="103"/>
      <c r="G12" s="19"/>
      <c r="H12" s="109">
        <v>28291.366000000002</v>
      </c>
      <c r="I12" s="42">
        <v>92286.437000000005</v>
      </c>
      <c r="J12" s="103"/>
      <c r="K12" s="14"/>
      <c r="L12" s="103"/>
      <c r="M12" s="14"/>
      <c r="N12" s="109"/>
      <c r="O12" s="19"/>
      <c r="P12" s="109"/>
      <c r="Q12" s="19"/>
    </row>
    <row r="13" spans="1:17">
      <c r="A13" s="13">
        <v>44616</v>
      </c>
      <c r="B13" s="103"/>
      <c r="C13" s="19"/>
      <c r="D13" s="103"/>
      <c r="E13" s="19"/>
      <c r="F13" s="103"/>
      <c r="G13" s="19"/>
      <c r="H13" s="109"/>
      <c r="I13" s="65"/>
      <c r="J13" s="103"/>
      <c r="K13" s="19"/>
      <c r="L13" s="103"/>
      <c r="M13" s="19"/>
      <c r="N13" s="109"/>
      <c r="O13" s="19"/>
      <c r="P13" s="89"/>
      <c r="Q13" s="19">
        <v>10000</v>
      </c>
    </row>
    <row r="14" spans="1:17" ht="15">
      <c r="A14" s="7">
        <v>44621</v>
      </c>
      <c r="B14" s="102"/>
      <c r="C14" s="61"/>
      <c r="D14" s="102"/>
      <c r="E14" s="61"/>
      <c r="F14" s="102"/>
      <c r="G14" s="61"/>
      <c r="H14" s="107"/>
      <c r="I14" s="108"/>
      <c r="J14" s="102"/>
      <c r="K14" s="61"/>
      <c r="L14" s="102"/>
      <c r="M14" s="61"/>
      <c r="N14" s="107"/>
      <c r="O14" s="61"/>
      <c r="P14" s="107"/>
      <c r="Q14" s="61"/>
    </row>
    <row r="15" spans="1:17" s="1" customFormat="1">
      <c r="A15" s="13">
        <v>44635</v>
      </c>
      <c r="B15" s="105"/>
      <c r="C15" s="62"/>
      <c r="D15" s="105"/>
      <c r="E15" s="62"/>
      <c r="F15" s="105"/>
      <c r="G15" s="62"/>
      <c r="H15" s="89"/>
      <c r="I15" s="115"/>
      <c r="J15" s="105"/>
      <c r="K15" s="62">
        <v>12480</v>
      </c>
      <c r="L15" s="105"/>
      <c r="M15" s="62"/>
      <c r="N15" s="89"/>
      <c r="O15" s="62"/>
      <c r="P15" s="89"/>
      <c r="Q15" s="62"/>
    </row>
    <row r="16" spans="1:17">
      <c r="A16" s="13">
        <v>44638</v>
      </c>
      <c r="B16" s="103"/>
      <c r="C16" s="19"/>
      <c r="D16" s="103"/>
      <c r="E16" s="19"/>
      <c r="F16" s="103"/>
      <c r="G16" s="19"/>
      <c r="H16" s="109">
        <v>35000</v>
      </c>
      <c r="I16" s="65">
        <v>110529.73699999999</v>
      </c>
      <c r="J16" s="103"/>
      <c r="K16" s="19"/>
      <c r="L16" s="103"/>
      <c r="M16" s="19"/>
      <c r="N16" s="109"/>
      <c r="O16" s="19"/>
      <c r="P16" s="109"/>
      <c r="Q16" s="19"/>
    </row>
    <row r="17" spans="1:17">
      <c r="A17" s="13">
        <v>44642</v>
      </c>
      <c r="B17" s="103"/>
      <c r="C17" s="19"/>
      <c r="D17" s="103">
        <v>2000</v>
      </c>
      <c r="E17" s="19">
        <v>6781.78</v>
      </c>
      <c r="F17" s="103"/>
      <c r="G17" s="19"/>
      <c r="H17" s="109"/>
      <c r="I17" s="65"/>
      <c r="J17" s="103"/>
      <c r="K17" s="19"/>
      <c r="L17" s="103"/>
      <c r="M17" s="19"/>
      <c r="N17" s="109"/>
      <c r="O17" s="19"/>
      <c r="P17" s="109"/>
      <c r="Q17" s="19"/>
    </row>
    <row r="18" spans="1:17" ht="15">
      <c r="A18" s="7">
        <v>44652</v>
      </c>
      <c r="B18" s="102"/>
      <c r="C18" s="61"/>
      <c r="D18" s="102"/>
      <c r="E18" s="61"/>
      <c r="F18" s="102"/>
      <c r="G18" s="61"/>
      <c r="H18" s="107"/>
      <c r="I18" s="108"/>
      <c r="J18" s="102"/>
      <c r="K18" s="61"/>
      <c r="L18" s="102"/>
      <c r="M18" s="61"/>
      <c r="N18" s="107"/>
      <c r="O18" s="61"/>
      <c r="P18" s="107"/>
      <c r="Q18" s="61"/>
    </row>
    <row r="19" spans="1:17" s="1" customFormat="1">
      <c r="A19" s="13">
        <v>44652</v>
      </c>
      <c r="B19" s="105"/>
      <c r="C19" s="62"/>
      <c r="D19" s="105"/>
      <c r="E19" s="62"/>
      <c r="F19" s="105"/>
      <c r="G19" s="62"/>
      <c r="H19" s="89"/>
      <c r="I19" s="115"/>
      <c r="J19" s="105"/>
      <c r="K19" s="62"/>
      <c r="L19" s="105"/>
      <c r="M19" s="62"/>
      <c r="N19" s="89">
        <v>10000</v>
      </c>
      <c r="O19" s="62">
        <v>31541.677</v>
      </c>
      <c r="P19" s="89"/>
      <c r="Q19" s="62"/>
    </row>
    <row r="20" spans="1:17">
      <c r="A20" s="13">
        <v>44662</v>
      </c>
      <c r="B20" s="103"/>
      <c r="C20" s="19"/>
      <c r="D20" s="103"/>
      <c r="E20" s="19"/>
      <c r="F20" s="103"/>
      <c r="G20" s="19"/>
      <c r="H20" s="109">
        <v>20000</v>
      </c>
      <c r="I20" s="65">
        <v>63402.237000000001</v>
      </c>
      <c r="J20" s="103"/>
      <c r="K20" s="19"/>
      <c r="L20" s="103"/>
      <c r="M20" s="19"/>
      <c r="N20" s="109"/>
      <c r="O20" s="19"/>
      <c r="P20" s="109"/>
      <c r="Q20" s="19"/>
    </row>
    <row r="21" spans="1:17">
      <c r="A21" s="13">
        <v>44655</v>
      </c>
      <c r="B21" s="103"/>
      <c r="C21" s="19"/>
      <c r="D21" s="103">
        <v>2000</v>
      </c>
      <c r="E21" s="19">
        <v>6400.5649999999996</v>
      </c>
      <c r="F21" s="103"/>
      <c r="G21" s="19"/>
      <c r="H21" s="109"/>
      <c r="I21" s="65"/>
      <c r="J21" s="103"/>
      <c r="K21" s="19"/>
      <c r="L21" s="103"/>
      <c r="M21" s="19"/>
      <c r="N21" s="109"/>
      <c r="O21" s="19"/>
      <c r="P21" s="109"/>
      <c r="Q21" s="19"/>
    </row>
    <row r="22" spans="1:17">
      <c r="A22" s="13">
        <v>44664</v>
      </c>
      <c r="B22" s="103"/>
      <c r="C22" s="19"/>
      <c r="D22" s="103"/>
      <c r="E22" s="19"/>
      <c r="F22" s="103"/>
      <c r="G22" s="19"/>
      <c r="H22" s="109"/>
      <c r="I22" s="65"/>
      <c r="J22" s="103"/>
      <c r="K22" s="19">
        <v>22516.550999999999</v>
      </c>
      <c r="L22" s="103"/>
      <c r="M22" s="19"/>
      <c r="N22" s="109"/>
      <c r="O22" s="19"/>
      <c r="P22" s="109"/>
      <c r="Q22" s="19"/>
    </row>
    <row r="23" spans="1:17">
      <c r="A23" s="13">
        <v>44665</v>
      </c>
      <c r="B23" s="103"/>
      <c r="C23" s="19"/>
      <c r="D23" s="103"/>
      <c r="E23" s="19"/>
      <c r="F23" s="103"/>
      <c r="G23" s="19"/>
      <c r="H23" s="109"/>
      <c r="I23" s="65"/>
      <c r="J23" s="103"/>
      <c r="K23" s="19">
        <v>1324.5029999999999</v>
      </c>
      <c r="L23" s="103"/>
      <c r="M23" s="19"/>
      <c r="N23" s="109"/>
      <c r="O23" s="19"/>
      <c r="P23" s="109"/>
      <c r="Q23" s="19"/>
    </row>
    <row r="24" spans="1:17">
      <c r="A24" s="13">
        <v>44666</v>
      </c>
      <c r="B24" s="103"/>
      <c r="C24" s="19"/>
      <c r="D24" s="103"/>
      <c r="E24" s="19"/>
      <c r="F24" s="103"/>
      <c r="G24" s="19"/>
      <c r="H24" s="109"/>
      <c r="I24" s="65"/>
      <c r="J24" s="103"/>
      <c r="K24" s="19">
        <f>SUM(1324.503*3)</f>
        <v>3973.509</v>
      </c>
      <c r="L24" s="103"/>
      <c r="M24" s="19"/>
      <c r="N24" s="109"/>
      <c r="O24" s="19"/>
      <c r="P24" s="109"/>
      <c r="Q24" s="19"/>
    </row>
    <row r="25" spans="1:17">
      <c r="A25" s="13">
        <v>44680</v>
      </c>
      <c r="B25" s="103"/>
      <c r="C25" s="19"/>
      <c r="D25" s="103"/>
      <c r="E25" s="19"/>
      <c r="F25" s="103"/>
      <c r="G25" s="19"/>
      <c r="H25" s="109"/>
      <c r="I25" s="65"/>
      <c r="J25" s="103"/>
      <c r="K25" s="19">
        <v>1655.6289999999999</v>
      </c>
      <c r="L25" s="103"/>
      <c r="M25" s="19"/>
      <c r="N25" s="109"/>
      <c r="O25" s="19"/>
      <c r="P25" s="109"/>
      <c r="Q25" s="19"/>
    </row>
    <row r="26" spans="1:17" ht="15">
      <c r="A26" s="7">
        <v>44682</v>
      </c>
      <c r="B26" s="102"/>
      <c r="C26" s="61"/>
      <c r="D26" s="102"/>
      <c r="E26" s="61"/>
      <c r="F26" s="102"/>
      <c r="G26" s="61"/>
      <c r="H26" s="107"/>
      <c r="I26" s="108"/>
      <c r="J26" s="102"/>
      <c r="K26" s="61"/>
      <c r="L26" s="102"/>
      <c r="M26" s="61"/>
      <c r="N26" s="107"/>
      <c r="O26" s="61"/>
      <c r="P26" s="107"/>
      <c r="Q26" s="61"/>
    </row>
    <row r="27" spans="1:17">
      <c r="A27" s="13">
        <v>44692</v>
      </c>
      <c r="B27" s="103"/>
      <c r="C27" s="19"/>
      <c r="D27" s="103"/>
      <c r="E27" s="19"/>
      <c r="F27" s="103"/>
      <c r="G27" s="19"/>
      <c r="H27" s="109"/>
      <c r="I27" s="118"/>
      <c r="J27" s="103"/>
      <c r="K27" s="104">
        <f>SUM(3119.488+1655.629+87561.6)</f>
        <v>92336.717000000004</v>
      </c>
      <c r="L27" s="103"/>
      <c r="M27" s="104"/>
      <c r="N27" s="109"/>
      <c r="O27" s="19"/>
      <c r="P27" s="109"/>
      <c r="Q27" s="19"/>
    </row>
    <row r="28" spans="1:17" ht="15">
      <c r="A28" s="7">
        <v>44713</v>
      </c>
      <c r="B28" s="102"/>
      <c r="C28" s="61"/>
      <c r="D28" s="102"/>
      <c r="E28" s="61"/>
      <c r="F28" s="102"/>
      <c r="G28" s="61"/>
      <c r="H28" s="107"/>
      <c r="I28" s="108"/>
      <c r="J28" s="102"/>
      <c r="K28" s="61"/>
      <c r="L28" s="102"/>
      <c r="M28" s="61"/>
      <c r="N28" s="107"/>
      <c r="O28" s="61"/>
      <c r="P28" s="107"/>
      <c r="Q28" s="61"/>
    </row>
    <row r="29" spans="1:17" s="1" customFormat="1">
      <c r="A29" s="13">
        <v>44718</v>
      </c>
      <c r="B29" s="105"/>
      <c r="C29" s="62"/>
      <c r="D29" s="105"/>
      <c r="E29" s="62"/>
      <c r="F29" s="105"/>
      <c r="G29" s="62"/>
      <c r="H29" s="89"/>
      <c r="I29" s="115"/>
      <c r="J29" s="105"/>
      <c r="K29" s="62">
        <v>125088</v>
      </c>
      <c r="L29" s="105"/>
      <c r="M29" s="62"/>
      <c r="N29" s="89"/>
      <c r="O29" s="62"/>
      <c r="P29" s="89"/>
      <c r="Q29" s="62"/>
    </row>
    <row r="30" spans="1:17" s="1" customFormat="1">
      <c r="A30" s="13">
        <v>44719</v>
      </c>
      <c r="B30" s="105"/>
      <c r="C30" s="62"/>
      <c r="D30" s="105"/>
      <c r="E30" s="62"/>
      <c r="F30" s="105"/>
      <c r="G30" s="62"/>
      <c r="H30" s="89"/>
      <c r="I30" s="115"/>
      <c r="J30" s="105"/>
      <c r="K30" s="62">
        <v>37526.400000000001</v>
      </c>
      <c r="L30" s="105"/>
      <c r="M30" s="62"/>
      <c r="N30" s="89"/>
      <c r="O30" s="62"/>
      <c r="P30" s="89"/>
      <c r="Q30" s="62"/>
    </row>
    <row r="31" spans="1:17" s="1" customFormat="1">
      <c r="A31" s="13">
        <v>44720</v>
      </c>
      <c r="B31" s="105"/>
      <c r="C31" s="62"/>
      <c r="D31" s="105"/>
      <c r="E31" s="62"/>
      <c r="F31" s="105"/>
      <c r="G31" s="62"/>
      <c r="H31" s="89"/>
      <c r="I31" s="115"/>
      <c r="J31" s="105"/>
      <c r="K31" s="62">
        <v>12508.8</v>
      </c>
      <c r="L31" s="105"/>
      <c r="M31" s="62"/>
      <c r="N31" s="89"/>
      <c r="O31" s="62"/>
      <c r="P31" s="89"/>
      <c r="Q31" s="62"/>
    </row>
    <row r="32" spans="1:17">
      <c r="A32" s="13">
        <v>44726</v>
      </c>
      <c r="B32" s="103"/>
      <c r="C32" s="19"/>
      <c r="D32" s="103"/>
      <c r="E32" s="19"/>
      <c r="F32" s="103"/>
      <c r="G32" s="19"/>
      <c r="H32" s="109"/>
      <c r="I32" s="65"/>
      <c r="J32" s="103"/>
      <c r="K32" s="19"/>
      <c r="L32" s="103"/>
      <c r="M32" s="19"/>
      <c r="N32" s="109">
        <v>15000</v>
      </c>
      <c r="O32" s="19">
        <v>47422.737000000001</v>
      </c>
      <c r="P32" s="109"/>
      <c r="Q32" s="19"/>
    </row>
    <row r="33" spans="1:17">
      <c r="A33" s="13">
        <v>44732</v>
      </c>
      <c r="B33" s="103"/>
      <c r="C33" s="19"/>
      <c r="D33" s="103"/>
      <c r="E33" s="19"/>
      <c r="F33" s="103"/>
      <c r="G33" s="19"/>
      <c r="H33" s="109">
        <v>30000</v>
      </c>
      <c r="I33" s="65">
        <v>94161.236999999994</v>
      </c>
      <c r="J33" s="103"/>
      <c r="K33" s="19"/>
      <c r="L33" s="103"/>
      <c r="M33" s="19"/>
      <c r="N33" s="109"/>
      <c r="O33" s="19"/>
      <c r="P33" s="109"/>
      <c r="Q33" s="19"/>
    </row>
    <row r="34" spans="1:17">
      <c r="A34" s="13">
        <v>44734</v>
      </c>
      <c r="B34" s="103"/>
      <c r="C34" s="19"/>
      <c r="D34" s="103"/>
      <c r="E34" s="19"/>
      <c r="F34" s="103"/>
      <c r="G34" s="19"/>
      <c r="H34" s="109"/>
      <c r="I34" s="65"/>
      <c r="J34" s="103"/>
      <c r="K34" s="19">
        <v>1324.5</v>
      </c>
      <c r="L34" s="103"/>
      <c r="M34" s="19"/>
      <c r="N34" s="109"/>
      <c r="O34" s="19"/>
      <c r="P34" s="109"/>
      <c r="Q34" s="19"/>
    </row>
    <row r="35" spans="1:17" ht="15">
      <c r="A35" s="7">
        <v>44743</v>
      </c>
      <c r="B35" s="102"/>
      <c r="C35" s="61"/>
      <c r="D35" s="102"/>
      <c r="E35" s="61"/>
      <c r="F35" s="102"/>
      <c r="G35" s="61"/>
      <c r="H35" s="107"/>
      <c r="I35" s="108"/>
      <c r="J35" s="102"/>
      <c r="K35" s="61"/>
      <c r="L35" s="102"/>
      <c r="M35" s="61"/>
      <c r="N35" s="107"/>
      <c r="O35" s="61"/>
      <c r="P35" s="107"/>
      <c r="Q35" s="61"/>
    </row>
    <row r="36" spans="1:17" s="1" customFormat="1">
      <c r="A36" s="13">
        <v>44749</v>
      </c>
      <c r="B36" s="105"/>
      <c r="C36" s="62"/>
      <c r="D36" s="105"/>
      <c r="E36" s="62"/>
      <c r="F36" s="105"/>
      <c r="G36" s="62"/>
      <c r="H36" s="89"/>
      <c r="I36" s="115"/>
      <c r="J36" s="105"/>
      <c r="K36" s="62"/>
      <c r="L36" s="105"/>
      <c r="M36" s="62"/>
      <c r="N36" s="89">
        <v>14051</v>
      </c>
      <c r="O36" s="62">
        <v>46631.607000000004</v>
      </c>
      <c r="P36" s="89"/>
      <c r="Q36" s="62"/>
    </row>
    <row r="37" spans="1:17">
      <c r="A37" s="13">
        <v>44761</v>
      </c>
      <c r="B37" s="103"/>
      <c r="C37" s="19"/>
      <c r="D37" s="103"/>
      <c r="E37" s="19"/>
      <c r="F37" s="103"/>
      <c r="G37" s="19"/>
      <c r="H37" s="109"/>
      <c r="I37" s="65"/>
      <c r="J37" s="103"/>
      <c r="K37" s="19">
        <f>SUM(3113.17+3120+1655.629+1655.629)</f>
        <v>9544.4279999999999</v>
      </c>
      <c r="L37" s="103"/>
      <c r="M37" s="19"/>
      <c r="N37" s="109"/>
      <c r="O37" s="19"/>
      <c r="P37" s="109"/>
      <c r="Q37" s="19"/>
    </row>
    <row r="38" spans="1:17" ht="15">
      <c r="A38" s="7">
        <v>44774</v>
      </c>
      <c r="B38" s="102"/>
      <c r="C38" s="61"/>
      <c r="D38" s="102"/>
      <c r="E38" s="61"/>
      <c r="F38" s="102"/>
      <c r="G38" s="61"/>
      <c r="H38" s="107"/>
      <c r="I38" s="108"/>
      <c r="J38" s="102"/>
      <c r="K38" s="61"/>
      <c r="L38" s="102"/>
      <c r="M38" s="61"/>
      <c r="N38" s="107"/>
      <c r="O38" s="61"/>
      <c r="P38" s="107"/>
      <c r="Q38" s="61"/>
    </row>
    <row r="39" spans="1:17">
      <c r="A39" s="13">
        <v>44782</v>
      </c>
      <c r="B39" s="103"/>
      <c r="C39" s="19"/>
      <c r="D39" s="103"/>
      <c r="E39" s="19"/>
      <c r="F39" s="105"/>
      <c r="G39" s="19">
        <v>15133.887000000001</v>
      </c>
      <c r="H39" s="109"/>
      <c r="I39" s="65"/>
      <c r="J39" s="103"/>
      <c r="K39" s="19"/>
      <c r="L39" s="103"/>
      <c r="M39" s="19"/>
      <c r="N39" s="109"/>
      <c r="O39" s="19"/>
      <c r="P39" s="109"/>
      <c r="Q39" s="19"/>
    </row>
    <row r="40" spans="1:17">
      <c r="A40" s="13">
        <v>44784</v>
      </c>
      <c r="B40" s="103"/>
      <c r="C40" s="19"/>
      <c r="D40" s="103"/>
      <c r="E40" s="19"/>
      <c r="F40" s="103"/>
      <c r="G40" s="19"/>
      <c r="H40" s="109">
        <v>30000</v>
      </c>
      <c r="I40" s="65">
        <v>31289.737000000001</v>
      </c>
      <c r="J40" s="103"/>
      <c r="K40" s="19"/>
      <c r="L40" s="103"/>
      <c r="M40" s="19"/>
      <c r="N40" s="109"/>
      <c r="O40" s="19"/>
      <c r="P40" s="109"/>
      <c r="Q40" s="19"/>
    </row>
    <row r="41" spans="1:17">
      <c r="A41" s="13">
        <v>44803</v>
      </c>
      <c r="B41" s="103"/>
      <c r="C41" s="19"/>
      <c r="D41" s="103"/>
      <c r="E41" s="19"/>
      <c r="F41" s="103"/>
      <c r="G41" s="19"/>
      <c r="H41" s="109"/>
      <c r="I41" s="65"/>
      <c r="J41" s="103"/>
      <c r="K41" s="19"/>
      <c r="L41" s="103">
        <v>50000</v>
      </c>
      <c r="M41" s="19">
        <v>155923.23699999999</v>
      </c>
      <c r="N41" s="109"/>
      <c r="O41" s="14"/>
      <c r="P41" s="109"/>
      <c r="Q41" s="14"/>
    </row>
    <row r="42" spans="1:17" ht="15">
      <c r="A42" s="7">
        <v>44805</v>
      </c>
      <c r="B42" s="102"/>
      <c r="C42" s="61"/>
      <c r="D42" s="102"/>
      <c r="E42" s="61"/>
      <c r="F42" s="102"/>
      <c r="G42" s="61"/>
      <c r="H42" s="107"/>
      <c r="I42" s="108"/>
      <c r="J42" s="102"/>
      <c r="K42" s="61"/>
      <c r="L42" s="102"/>
      <c r="M42" s="61"/>
      <c r="N42" s="107"/>
      <c r="O42" s="61"/>
      <c r="P42" s="107"/>
      <c r="Q42" s="61"/>
    </row>
    <row r="43" spans="1:17" hidden="1">
      <c r="A43" s="13"/>
      <c r="B43" s="103"/>
      <c r="C43" s="19"/>
      <c r="D43" s="103"/>
      <c r="E43" s="19"/>
      <c r="F43" s="103"/>
      <c r="G43" s="19"/>
      <c r="H43" s="109"/>
      <c r="I43" s="65"/>
      <c r="J43" s="103"/>
      <c r="K43" s="19"/>
      <c r="L43" s="103"/>
      <c r="M43" s="19"/>
      <c r="N43" s="109"/>
      <c r="O43" s="19"/>
      <c r="P43" s="109"/>
      <c r="Q43" s="19"/>
    </row>
    <row r="44" spans="1:17" ht="15">
      <c r="A44" s="7">
        <v>44835</v>
      </c>
      <c r="B44" s="102"/>
      <c r="C44" s="61"/>
      <c r="D44" s="102"/>
      <c r="E44" s="61"/>
      <c r="F44" s="102"/>
      <c r="G44" s="61"/>
      <c r="H44" s="107"/>
      <c r="I44" s="108"/>
      <c r="J44" s="102"/>
      <c r="K44" s="61"/>
      <c r="L44" s="102"/>
      <c r="M44" s="61"/>
      <c r="N44" s="107"/>
      <c r="O44" s="61"/>
      <c r="P44" s="107"/>
      <c r="Q44" s="61"/>
    </row>
    <row r="45" spans="1:17" s="1" customFormat="1">
      <c r="A45" s="13">
        <v>44837</v>
      </c>
      <c r="B45" s="105"/>
      <c r="C45" s="62"/>
      <c r="D45" s="105">
        <v>1072</v>
      </c>
      <c r="E45" s="62">
        <v>3330.096</v>
      </c>
      <c r="F45" s="105"/>
      <c r="G45" s="62"/>
      <c r="H45" s="89"/>
      <c r="I45" s="115"/>
      <c r="J45" s="105"/>
      <c r="K45" s="62"/>
      <c r="L45" s="105"/>
      <c r="M45" s="62"/>
      <c r="N45" s="89"/>
      <c r="O45" s="62"/>
      <c r="P45" s="89"/>
      <c r="Q45" s="62"/>
    </row>
    <row r="46" spans="1:17">
      <c r="A46" s="13">
        <v>44852</v>
      </c>
      <c r="B46" s="103"/>
      <c r="C46" s="19"/>
      <c r="D46" s="103"/>
      <c r="E46" s="19"/>
      <c r="F46" s="103"/>
      <c r="G46" s="19"/>
      <c r="H46" s="109"/>
      <c r="I46" s="42"/>
      <c r="J46" s="103"/>
      <c r="K46" s="14"/>
      <c r="L46" s="103">
        <v>63406</v>
      </c>
      <c r="M46" s="14">
        <v>197084.557</v>
      </c>
      <c r="N46" s="109"/>
      <c r="O46" s="19"/>
      <c r="P46" s="109"/>
      <c r="Q46" s="19"/>
    </row>
    <row r="47" spans="1:17">
      <c r="A47" s="13">
        <v>44860</v>
      </c>
      <c r="B47" s="103"/>
      <c r="C47" s="19"/>
      <c r="D47" s="103"/>
      <c r="E47" s="19"/>
      <c r="F47" s="103"/>
      <c r="G47" s="19"/>
      <c r="H47" s="109"/>
      <c r="I47" s="42"/>
      <c r="J47" s="103"/>
      <c r="K47" s="14">
        <f>SUM(1280.81*2)</f>
        <v>2561.62</v>
      </c>
      <c r="L47" s="103"/>
      <c r="M47" s="14"/>
      <c r="N47" s="109"/>
      <c r="O47" s="19"/>
      <c r="P47" s="109"/>
      <c r="Q47" s="19"/>
    </row>
    <row r="48" spans="1:17">
      <c r="A48" s="13">
        <v>44861</v>
      </c>
      <c r="B48" s="103"/>
      <c r="C48" s="19"/>
      <c r="D48" s="103"/>
      <c r="E48" s="19"/>
      <c r="F48" s="103"/>
      <c r="G48" s="19"/>
      <c r="H48" s="109">
        <v>30000</v>
      </c>
      <c r="I48" s="65">
        <v>94305.236999999994</v>
      </c>
      <c r="J48" s="103"/>
      <c r="K48" s="19"/>
      <c r="L48" s="103">
        <v>30000</v>
      </c>
      <c r="M48" s="19">
        <v>94317.236999999994</v>
      </c>
      <c r="N48" s="109"/>
      <c r="O48" s="19"/>
      <c r="P48" s="109"/>
      <c r="Q48" s="19"/>
    </row>
    <row r="49" spans="1:17" ht="15">
      <c r="A49" s="7">
        <v>44866</v>
      </c>
      <c r="B49" s="102"/>
      <c r="C49" s="61"/>
      <c r="D49" s="102"/>
      <c r="E49" s="61"/>
      <c r="F49" s="102"/>
      <c r="G49" s="61"/>
      <c r="H49" s="107"/>
      <c r="I49" s="108"/>
      <c r="J49" s="102"/>
      <c r="K49" s="61"/>
      <c r="L49" s="102"/>
      <c r="M49" s="61"/>
      <c r="N49" s="107"/>
      <c r="O49" s="61"/>
      <c r="P49" s="107"/>
      <c r="Q49" s="61"/>
    </row>
    <row r="50" spans="1:17">
      <c r="A50" s="13">
        <v>44868</v>
      </c>
      <c r="B50" s="103"/>
      <c r="C50" s="19"/>
      <c r="D50" s="103"/>
      <c r="E50" s="19"/>
      <c r="F50" s="103"/>
      <c r="G50" s="19"/>
      <c r="H50" s="109"/>
      <c r="I50" s="42"/>
      <c r="J50" s="103"/>
      <c r="K50" s="19">
        <v>1280.82</v>
      </c>
      <c r="L50" s="103"/>
      <c r="M50" s="19"/>
      <c r="N50" s="109"/>
      <c r="O50" s="19"/>
      <c r="P50" s="109"/>
      <c r="Q50" s="19"/>
    </row>
    <row r="51" spans="1:17">
      <c r="A51" s="13">
        <v>44873</v>
      </c>
      <c r="B51" s="103"/>
      <c r="C51" s="19"/>
      <c r="D51" s="103"/>
      <c r="E51" s="19"/>
      <c r="F51" s="103"/>
      <c r="G51" s="19"/>
      <c r="H51" s="109"/>
      <c r="I51" s="42"/>
      <c r="J51" s="103"/>
      <c r="K51" s="19">
        <v>7684.92</v>
      </c>
      <c r="L51" s="103"/>
      <c r="M51" s="19"/>
      <c r="N51" s="109"/>
      <c r="O51" s="19"/>
      <c r="P51" s="109"/>
      <c r="Q51" s="19"/>
    </row>
    <row r="52" spans="1:17">
      <c r="A52" s="13">
        <v>44889</v>
      </c>
      <c r="B52" s="103"/>
      <c r="C52" s="19"/>
      <c r="D52" s="103"/>
      <c r="E52" s="19"/>
      <c r="F52" s="103"/>
      <c r="G52" s="19"/>
      <c r="H52" s="109"/>
      <c r="I52" s="42"/>
      <c r="J52" s="103"/>
      <c r="K52" s="19">
        <f>SUM(1280.82*2)</f>
        <v>2561.64</v>
      </c>
      <c r="L52" s="103"/>
      <c r="M52" s="19"/>
      <c r="N52" s="109"/>
      <c r="O52" s="19"/>
      <c r="P52" s="109"/>
      <c r="Q52" s="19"/>
    </row>
    <row r="53" spans="1:17">
      <c r="A53" s="13">
        <v>44890</v>
      </c>
      <c r="B53" s="103"/>
      <c r="C53" s="19"/>
      <c r="D53" s="103"/>
      <c r="E53" s="19"/>
      <c r="F53" s="103"/>
      <c r="G53" s="19"/>
      <c r="H53" s="109"/>
      <c r="I53" s="42"/>
      <c r="J53" s="103"/>
      <c r="K53" s="19">
        <v>11527.370999999999</v>
      </c>
      <c r="L53" s="103"/>
      <c r="M53" s="19"/>
      <c r="N53" s="109"/>
      <c r="O53" s="19"/>
      <c r="P53" s="109"/>
      <c r="Q53" s="19"/>
    </row>
    <row r="54" spans="1:17" ht="15">
      <c r="A54" s="7">
        <v>44896</v>
      </c>
      <c r="B54" s="102"/>
      <c r="C54" s="61"/>
      <c r="D54" s="102"/>
      <c r="E54" s="61"/>
      <c r="F54" s="102"/>
      <c r="G54" s="61"/>
      <c r="H54" s="107"/>
      <c r="I54" s="108"/>
      <c r="J54" s="102"/>
      <c r="K54" s="61"/>
      <c r="L54" s="102"/>
      <c r="M54" s="61"/>
      <c r="N54" s="107"/>
      <c r="O54" s="61"/>
      <c r="P54" s="107"/>
      <c r="Q54" s="61"/>
    </row>
    <row r="55" spans="1:17">
      <c r="A55" s="13">
        <v>44901</v>
      </c>
      <c r="B55" s="103"/>
      <c r="C55" s="19"/>
      <c r="D55" s="103"/>
      <c r="E55" s="19"/>
      <c r="F55" s="103"/>
      <c r="G55" s="19"/>
      <c r="H55" s="109"/>
      <c r="I55" s="65"/>
      <c r="J55" s="103"/>
      <c r="K55" s="19">
        <f>SUM(1682.368+3120)</f>
        <v>4802.3680000000004</v>
      </c>
      <c r="L55" s="103"/>
      <c r="M55" s="19"/>
      <c r="N55" s="109"/>
      <c r="O55" s="19"/>
      <c r="P55" s="109"/>
      <c r="Q55" s="19"/>
    </row>
    <row r="56" spans="1:17">
      <c r="A56" s="13">
        <v>44902</v>
      </c>
      <c r="B56" s="103"/>
      <c r="C56" s="19"/>
      <c r="D56" s="103"/>
      <c r="E56" s="19"/>
      <c r="F56" s="103"/>
      <c r="G56" s="19"/>
      <c r="H56" s="109"/>
      <c r="I56" s="65"/>
      <c r="J56" s="103"/>
      <c r="K56" s="19">
        <v>1345.895</v>
      </c>
      <c r="L56" s="103"/>
      <c r="M56" s="19"/>
      <c r="N56" s="109"/>
      <c r="O56" s="19"/>
      <c r="P56" s="109"/>
      <c r="Q56" s="19"/>
    </row>
    <row r="57" spans="1:17">
      <c r="A57" s="13">
        <v>44907</v>
      </c>
      <c r="B57" s="103"/>
      <c r="C57" s="19"/>
      <c r="D57" s="103"/>
      <c r="E57" s="19"/>
      <c r="F57" s="103"/>
      <c r="G57" s="19"/>
      <c r="H57" s="109"/>
      <c r="I57" s="65"/>
      <c r="J57" s="103"/>
      <c r="K57" s="19">
        <f>SUM(14850+1345.895)</f>
        <v>16195.895</v>
      </c>
      <c r="L57" s="103"/>
      <c r="M57" s="19"/>
      <c r="N57" s="109"/>
      <c r="O57" s="19"/>
      <c r="P57" s="109"/>
      <c r="Q57" s="19"/>
    </row>
    <row r="58" spans="1:17">
      <c r="A58" s="13">
        <v>44923</v>
      </c>
      <c r="B58" s="103"/>
      <c r="C58" s="19"/>
      <c r="D58" s="103">
        <v>2000</v>
      </c>
      <c r="E58" s="19">
        <v>6457.62</v>
      </c>
      <c r="F58" s="103"/>
      <c r="G58" s="19"/>
      <c r="H58" s="109"/>
      <c r="I58" s="65"/>
      <c r="J58" s="103"/>
      <c r="K58" s="19"/>
      <c r="L58" s="103"/>
      <c r="M58" s="19"/>
      <c r="N58" s="109"/>
      <c r="O58" s="19"/>
      <c r="P58" s="109"/>
      <c r="Q58" s="19"/>
    </row>
    <row r="59" spans="1:17" ht="15">
      <c r="A59" s="20" t="s">
        <v>8</v>
      </c>
      <c r="B59" s="21">
        <f>SUM(B4:B56)</f>
        <v>0</v>
      </c>
      <c r="C59" s="22">
        <f>SUM(C4:C56)</f>
        <v>0</v>
      </c>
      <c r="D59" s="21">
        <f>SUM(D9:D47)</f>
        <v>7072</v>
      </c>
      <c r="E59" s="22">
        <f>SUM(E5:E58)</f>
        <v>29360.884999999998</v>
      </c>
      <c r="F59" s="21">
        <f>SUM(F4:F56)</f>
        <v>0</v>
      </c>
      <c r="G59" s="22">
        <f>SUM(G4:G56)</f>
        <v>15133.887000000001</v>
      </c>
      <c r="H59" s="38">
        <f>SUM(H4:H56)</f>
        <v>193291.36600000001</v>
      </c>
      <c r="I59" s="43">
        <f>SUM(I4:I56)</f>
        <v>549682.85900000005</v>
      </c>
      <c r="J59" s="21">
        <f>SUM(J4:J56)</f>
        <v>0</v>
      </c>
      <c r="K59" s="22">
        <f>SUM(K5:K58)</f>
        <v>398828.11400000006</v>
      </c>
      <c r="L59" s="21">
        <f>SUM(L4:L56)</f>
        <v>143406</v>
      </c>
      <c r="M59" s="22">
        <f>SUM(M4:M56)</f>
        <v>447325.03099999996</v>
      </c>
      <c r="N59" s="38">
        <f>SUM(N4:N56)</f>
        <v>39051</v>
      </c>
      <c r="O59" s="22">
        <f>SUM(O4:O56)</f>
        <v>125596.02100000001</v>
      </c>
      <c r="P59" s="38">
        <f>SUM(P5:P58)</f>
        <v>0</v>
      </c>
      <c r="Q59" s="22">
        <f>SUM(Q5:Q58)</f>
        <v>10000</v>
      </c>
    </row>
    <row r="60" spans="1:17" s="1" customFormat="1" ht="15">
      <c r="A60" s="23"/>
      <c r="B60" s="30"/>
      <c r="C60" s="30"/>
      <c r="D60" s="31"/>
      <c r="E60" s="31"/>
      <c r="F60" s="31"/>
      <c r="G60" s="24"/>
      <c r="H60" s="24"/>
      <c r="I60" s="24"/>
      <c r="J60" s="24"/>
      <c r="K60" s="24"/>
      <c r="L60" s="24"/>
      <c r="M60" s="24"/>
      <c r="N60" s="24"/>
      <c r="O60" s="24"/>
    </row>
    <row r="61" spans="1:17" ht="15">
      <c r="A61" s="25" t="s">
        <v>9</v>
      </c>
      <c r="B61" s="32">
        <f>B59+F59+H59+J59+N59+L59+D59</f>
        <v>382820.36600000004</v>
      </c>
      <c r="C61" s="32">
        <f>C59+G59+I59+K59+O59+M59+Q59+E59</f>
        <v>1575926.797</v>
      </c>
      <c r="D61" s="46"/>
      <c r="E61" s="46"/>
      <c r="F61" s="33"/>
      <c r="G61" s="34"/>
      <c r="H61" s="35"/>
      <c r="I61" s="35"/>
      <c r="J61" s="35"/>
      <c r="K61" s="35"/>
      <c r="L61" s="35"/>
      <c r="M61" s="35"/>
      <c r="N61" s="35"/>
      <c r="O61" s="35"/>
    </row>
    <row r="62" spans="1:17" ht="15">
      <c r="A62" s="47"/>
      <c r="B62" s="48"/>
      <c r="C62" s="48"/>
      <c r="D62" s="48"/>
      <c r="E62" s="48"/>
      <c r="F62" s="48"/>
      <c r="G62" s="48"/>
      <c r="H62" s="49"/>
      <c r="I62" s="49"/>
      <c r="J62" s="49"/>
      <c r="K62" s="49"/>
      <c r="L62" s="49"/>
      <c r="M62" s="49"/>
      <c r="N62" s="49"/>
      <c r="O62" s="49"/>
    </row>
    <row r="63" spans="1:17" ht="15">
      <c r="A63" s="28" t="s">
        <v>10</v>
      </c>
      <c r="B63" s="245" t="s">
        <v>11</v>
      </c>
      <c r="C63" s="245"/>
      <c r="D63" s="245"/>
      <c r="E63" s="245" t="s">
        <v>36</v>
      </c>
      <c r="F63" s="245"/>
      <c r="G63" s="245" t="s">
        <v>13</v>
      </c>
      <c r="H63" s="245"/>
    </row>
    <row r="64" spans="1:17" ht="69.95" customHeight="1">
      <c r="A64" s="236" t="s">
        <v>38</v>
      </c>
      <c r="B64" s="206" t="s">
        <v>39</v>
      </c>
      <c r="C64" s="206"/>
      <c r="D64" s="206"/>
      <c r="E64" s="206" t="s">
        <v>40</v>
      </c>
      <c r="F64" s="206"/>
      <c r="G64" s="206" t="s">
        <v>17</v>
      </c>
      <c r="H64" s="206"/>
      <c r="I64" s="50"/>
      <c r="J64" s="51">
        <v>44704</v>
      </c>
      <c r="K64" s="52">
        <v>3239.9169999999999</v>
      </c>
      <c r="L64" s="52" t="s">
        <v>51</v>
      </c>
      <c r="M64" s="50"/>
      <c r="N64" s="50"/>
    </row>
    <row r="65" spans="1:14" ht="107.1" customHeight="1">
      <c r="A65" s="236"/>
      <c r="B65" s="206"/>
      <c r="C65" s="206"/>
      <c r="D65" s="206"/>
      <c r="E65" s="206"/>
      <c r="F65" s="206"/>
      <c r="G65" s="206"/>
      <c r="H65" s="206"/>
      <c r="N65" s="50"/>
    </row>
    <row r="66" spans="1:14" ht="69.95" customHeight="1">
      <c r="A66" s="237" t="s">
        <v>41</v>
      </c>
      <c r="B66" s="206" t="s">
        <v>42</v>
      </c>
      <c r="C66" s="206"/>
      <c r="D66" s="206"/>
      <c r="E66" s="206" t="s">
        <v>40</v>
      </c>
      <c r="F66" s="206"/>
      <c r="G66" s="206" t="s">
        <v>17</v>
      </c>
      <c r="H66" s="206"/>
      <c r="I66" s="50"/>
      <c r="J66" s="50"/>
      <c r="K66" s="53"/>
      <c r="L66" s="53"/>
      <c r="M66" s="50"/>
      <c r="N66" s="50"/>
    </row>
    <row r="67" spans="1:14" ht="69.95" customHeight="1">
      <c r="A67" s="237"/>
      <c r="B67" s="206"/>
      <c r="C67" s="206"/>
      <c r="D67" s="206"/>
      <c r="E67" s="206"/>
      <c r="F67" s="206"/>
      <c r="G67" s="206"/>
      <c r="H67" s="206"/>
      <c r="I67" s="50"/>
      <c r="J67" s="50"/>
      <c r="K67" s="53"/>
      <c r="L67" s="53"/>
      <c r="M67" s="50"/>
      <c r="N67" s="50"/>
    </row>
    <row r="68" spans="1:14" ht="69.95" customHeight="1">
      <c r="A68" s="238" t="s">
        <v>14</v>
      </c>
      <c r="B68" s="207" t="s">
        <v>15</v>
      </c>
      <c r="C68" s="207"/>
      <c r="D68" s="207"/>
      <c r="E68" s="207" t="s">
        <v>16</v>
      </c>
      <c r="F68" s="207"/>
      <c r="G68" s="207" t="s">
        <v>17</v>
      </c>
      <c r="H68" s="207"/>
    </row>
    <row r="69" spans="1:14" ht="69.95" customHeight="1">
      <c r="A69" s="238"/>
      <c r="B69" s="207"/>
      <c r="C69" s="207"/>
      <c r="D69" s="207"/>
      <c r="E69" s="207"/>
      <c r="F69" s="207"/>
      <c r="G69" s="207"/>
      <c r="H69" s="207"/>
    </row>
    <row r="70" spans="1:14" ht="69.95" customHeight="1">
      <c r="A70" s="239" t="s">
        <v>43</v>
      </c>
      <c r="B70" s="206" t="s">
        <v>44</v>
      </c>
      <c r="C70" s="206"/>
      <c r="D70" s="206"/>
      <c r="E70" s="206" t="s">
        <v>45</v>
      </c>
      <c r="F70" s="206"/>
      <c r="G70" s="206" t="s">
        <v>17</v>
      </c>
      <c r="H70" s="206"/>
      <c r="I70" s="50"/>
      <c r="J70" s="50"/>
      <c r="K70" s="53"/>
      <c r="L70" s="53"/>
      <c r="M70" s="50"/>
      <c r="N70" s="50"/>
    </row>
    <row r="71" spans="1:14" ht="69.95" customHeight="1">
      <c r="A71" s="239"/>
      <c r="B71" s="206"/>
      <c r="C71" s="206"/>
      <c r="D71" s="206"/>
      <c r="E71" s="206"/>
      <c r="F71" s="206"/>
      <c r="G71" s="206"/>
      <c r="H71" s="206"/>
      <c r="I71" s="50"/>
      <c r="J71" s="50"/>
      <c r="K71" s="53"/>
      <c r="L71" s="53"/>
      <c r="M71" s="50"/>
      <c r="N71" s="50"/>
    </row>
    <row r="72" spans="1:14" ht="80.099999999999994" customHeight="1">
      <c r="A72" s="240" t="s">
        <v>18</v>
      </c>
      <c r="B72" s="207" t="s">
        <v>19</v>
      </c>
      <c r="C72" s="207"/>
      <c r="D72" s="207"/>
      <c r="E72" s="207" t="s">
        <v>20</v>
      </c>
      <c r="F72" s="207"/>
      <c r="G72" s="207" t="s">
        <v>21</v>
      </c>
      <c r="H72" s="207"/>
    </row>
    <row r="73" spans="1:14" ht="84" customHeight="1">
      <c r="A73" s="240"/>
      <c r="B73" s="207"/>
      <c r="C73" s="207"/>
      <c r="D73" s="207"/>
      <c r="E73" s="207"/>
      <c r="F73" s="207"/>
      <c r="G73" s="207"/>
      <c r="H73" s="207"/>
    </row>
    <row r="74" spans="1:14" ht="69.95" customHeight="1">
      <c r="A74" s="234" t="s">
        <v>35</v>
      </c>
      <c r="B74" s="207" t="s">
        <v>46</v>
      </c>
      <c r="C74" s="207"/>
      <c r="D74" s="207"/>
      <c r="E74" s="207" t="s">
        <v>47</v>
      </c>
      <c r="F74" s="207"/>
      <c r="G74" s="207" t="s">
        <v>17</v>
      </c>
      <c r="H74" s="207"/>
      <c r="I74" s="50"/>
      <c r="J74" s="50"/>
      <c r="K74" s="53"/>
      <c r="L74" s="53"/>
      <c r="M74" s="50"/>
      <c r="N74" s="50"/>
    </row>
    <row r="75" spans="1:14" ht="69.95" customHeight="1">
      <c r="A75" s="234"/>
      <c r="B75" s="207"/>
      <c r="C75" s="207"/>
      <c r="D75" s="207"/>
      <c r="E75" s="207"/>
      <c r="F75" s="207"/>
      <c r="G75" s="207"/>
      <c r="H75" s="207"/>
      <c r="I75" s="50"/>
      <c r="J75" s="50"/>
      <c r="K75" s="53"/>
      <c r="L75" s="53"/>
      <c r="M75" s="50"/>
      <c r="N75" s="50"/>
    </row>
    <row r="76" spans="1:14" ht="86.1" customHeight="1">
      <c r="A76" s="235" t="s">
        <v>52</v>
      </c>
      <c r="B76" s="206" t="s">
        <v>53</v>
      </c>
      <c r="C76" s="206"/>
      <c r="D76" s="206"/>
      <c r="E76" s="206" t="s">
        <v>54</v>
      </c>
      <c r="F76" s="206"/>
      <c r="G76" s="206" t="s">
        <v>17</v>
      </c>
      <c r="H76" s="206"/>
      <c r="I76" s="50"/>
      <c r="J76" s="50"/>
      <c r="K76" s="53"/>
      <c r="L76" s="53"/>
      <c r="M76" s="50"/>
      <c r="N76" s="50"/>
    </row>
    <row r="77" spans="1:14" ht="101.1" customHeight="1">
      <c r="A77" s="235"/>
      <c r="B77" s="206"/>
      <c r="C77" s="206"/>
      <c r="D77" s="206"/>
      <c r="E77" s="206"/>
      <c r="F77" s="206"/>
      <c r="G77" s="206"/>
      <c r="H77" s="206"/>
      <c r="I77" s="50"/>
      <c r="J77" s="50"/>
      <c r="K77" s="53"/>
      <c r="L77" s="53"/>
      <c r="M77" s="50"/>
      <c r="N77" s="50"/>
    </row>
  </sheetData>
  <mergeCells count="39">
    <mergeCell ref="L2:M2"/>
    <mergeCell ref="N2:O2"/>
    <mergeCell ref="P2:Q2"/>
    <mergeCell ref="B63:D63"/>
    <mergeCell ref="E63:F63"/>
    <mergeCell ref="G63:H63"/>
    <mergeCell ref="B2:C2"/>
    <mergeCell ref="D2:E2"/>
    <mergeCell ref="F2:G2"/>
    <mergeCell ref="H2:I2"/>
    <mergeCell ref="J2:K2"/>
    <mergeCell ref="A64:A65"/>
    <mergeCell ref="A66:A67"/>
    <mergeCell ref="A68:A69"/>
    <mergeCell ref="A70:A71"/>
    <mergeCell ref="A72:A73"/>
    <mergeCell ref="A74:A75"/>
    <mergeCell ref="A76:A77"/>
    <mergeCell ref="E76:F77"/>
    <mergeCell ref="G76:H77"/>
    <mergeCell ref="E74:F75"/>
    <mergeCell ref="G74:H75"/>
    <mergeCell ref="B74:D75"/>
    <mergeCell ref="B76:D77"/>
    <mergeCell ref="B72:D73"/>
    <mergeCell ref="E72:F73"/>
    <mergeCell ref="G72:H73"/>
    <mergeCell ref="E64:F65"/>
    <mergeCell ref="G64:H65"/>
    <mergeCell ref="B64:D65"/>
    <mergeCell ref="E66:F67"/>
    <mergeCell ref="G66:H67"/>
    <mergeCell ref="E70:F71"/>
    <mergeCell ref="G70:H71"/>
    <mergeCell ref="B66:D67"/>
    <mergeCell ref="B70:D71"/>
    <mergeCell ref="B68:D69"/>
    <mergeCell ref="E68:F69"/>
    <mergeCell ref="G68:H69"/>
  </mergeCell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topLeftCell="A5" zoomScale="87" zoomScaleNormal="87" workbookViewId="0">
      <selection activeCell="B5" sqref="B5:Q55"/>
    </sheetView>
  </sheetViews>
  <sheetFormatPr baseColWidth="10" defaultColWidth="11" defaultRowHeight="13.5"/>
  <cols>
    <col min="1" max="1" width="25.5" customWidth="1"/>
    <col min="2" max="2" width="18.375" customWidth="1"/>
    <col min="3" max="5" width="14.125" customWidth="1"/>
    <col min="6" max="6" width="18.375" customWidth="1"/>
    <col min="7" max="7" width="14.125" customWidth="1"/>
    <col min="8" max="8" width="18.625" customWidth="1"/>
    <col min="9" max="9" width="17.375" customWidth="1"/>
    <col min="10" max="10" width="18.625" customWidth="1"/>
    <col min="11" max="13" width="17.375" customWidth="1"/>
    <col min="14" max="17" width="15.375" customWidth="1"/>
  </cols>
  <sheetData>
    <row r="1" spans="1:17" ht="63.6" customHeight="1">
      <c r="A1" s="2" t="s">
        <v>55</v>
      </c>
    </row>
    <row r="2" spans="1:17" ht="16.5">
      <c r="A2" s="3"/>
      <c r="B2" s="228" t="s">
        <v>32</v>
      </c>
      <c r="C2" s="229"/>
      <c r="D2" s="230" t="s">
        <v>33</v>
      </c>
      <c r="E2" s="231"/>
      <c r="F2" s="180" t="s">
        <v>1</v>
      </c>
      <c r="G2" s="181"/>
      <c r="H2" s="232" t="s">
        <v>34</v>
      </c>
      <c r="I2" s="233"/>
      <c r="J2" s="182" t="s">
        <v>2</v>
      </c>
      <c r="K2" s="183"/>
      <c r="L2" s="247" t="s">
        <v>56</v>
      </c>
      <c r="M2" s="248"/>
      <c r="N2" s="241" t="s">
        <v>57</v>
      </c>
      <c r="O2" s="242"/>
      <c r="P2" s="249" t="s">
        <v>58</v>
      </c>
      <c r="Q2" s="181"/>
    </row>
    <row r="3" spans="1:17">
      <c r="A3" s="4"/>
      <c r="B3" s="5" t="s">
        <v>6</v>
      </c>
      <c r="C3" s="6" t="s">
        <v>7</v>
      </c>
      <c r="D3" s="5" t="s">
        <v>6</v>
      </c>
      <c r="E3" s="6" t="s">
        <v>7</v>
      </c>
      <c r="F3" s="5" t="s">
        <v>6</v>
      </c>
      <c r="G3" s="6" t="s">
        <v>7</v>
      </c>
      <c r="H3" s="36" t="s">
        <v>6</v>
      </c>
      <c r="I3" s="39" t="s">
        <v>7</v>
      </c>
      <c r="J3" s="5" t="s">
        <v>6</v>
      </c>
      <c r="K3" s="6" t="s">
        <v>7</v>
      </c>
      <c r="L3" s="5"/>
      <c r="M3" s="6"/>
      <c r="N3" s="36" t="s">
        <v>6</v>
      </c>
      <c r="O3" s="6" t="s">
        <v>7</v>
      </c>
      <c r="P3" s="36" t="s">
        <v>6</v>
      </c>
      <c r="Q3" s="6" t="s">
        <v>7</v>
      </c>
    </row>
    <row r="4" spans="1:17" ht="15">
      <c r="A4" s="7">
        <v>44197</v>
      </c>
      <c r="B4" s="8"/>
      <c r="C4" s="9"/>
      <c r="D4" s="8"/>
      <c r="E4" s="9"/>
      <c r="F4" s="8"/>
      <c r="G4" s="9"/>
      <c r="H4" s="37"/>
      <c r="I4" s="40"/>
      <c r="J4" s="8"/>
      <c r="K4" s="9"/>
      <c r="L4" s="8"/>
      <c r="M4" s="9"/>
      <c r="N4" s="37"/>
      <c r="O4" s="9"/>
      <c r="P4" s="37"/>
      <c r="Q4" s="9"/>
    </row>
    <row r="5" spans="1:17">
      <c r="A5" s="13">
        <v>44224</v>
      </c>
      <c r="B5" s="103"/>
      <c r="C5" s="19"/>
      <c r="D5" s="103"/>
      <c r="E5" s="19"/>
      <c r="F5" s="103"/>
      <c r="G5" s="19"/>
      <c r="H5" s="109"/>
      <c r="I5" s="65"/>
      <c r="J5" s="103"/>
      <c r="K5" s="19"/>
      <c r="L5" s="101">
        <f>SUM(M5/3.2)</f>
        <v>10961.992812499999</v>
      </c>
      <c r="M5" s="19">
        <v>35078.377</v>
      </c>
      <c r="N5" s="109"/>
      <c r="O5" s="19"/>
      <c r="P5" s="109"/>
      <c r="Q5" s="19"/>
    </row>
    <row r="6" spans="1:17">
      <c r="A6" s="13">
        <v>44225</v>
      </c>
      <c r="B6" s="110"/>
      <c r="C6" s="88"/>
      <c r="D6" s="120"/>
      <c r="E6" s="88">
        <v>8658.3189999999995</v>
      </c>
      <c r="F6" s="110"/>
      <c r="G6" s="88"/>
      <c r="H6" s="111"/>
      <c r="I6" s="112"/>
      <c r="J6" s="110"/>
      <c r="K6" s="88"/>
      <c r="L6" s="110"/>
      <c r="M6" s="88"/>
      <c r="N6" s="111"/>
      <c r="O6" s="88"/>
      <c r="P6" s="111"/>
      <c r="Q6" s="88"/>
    </row>
    <row r="7" spans="1:17" ht="15">
      <c r="A7" s="7">
        <v>44228</v>
      </c>
      <c r="B7" s="102"/>
      <c r="C7" s="61"/>
      <c r="D7" s="102"/>
      <c r="E7" s="61"/>
      <c r="F7" s="102"/>
      <c r="G7" s="61"/>
      <c r="H7" s="107"/>
      <c r="I7" s="108"/>
      <c r="J7" s="102"/>
      <c r="K7" s="61"/>
      <c r="L7" s="102"/>
      <c r="M7" s="61"/>
      <c r="N7" s="107"/>
      <c r="O7" s="61"/>
      <c r="P7" s="107"/>
      <c r="Q7" s="61"/>
    </row>
    <row r="8" spans="1:17" s="1" customFormat="1">
      <c r="A8" s="13">
        <v>44228</v>
      </c>
      <c r="B8" s="105"/>
      <c r="C8" s="62"/>
      <c r="D8" s="105"/>
      <c r="E8" s="62"/>
      <c r="F8" s="105">
        <v>4536.37</v>
      </c>
      <c r="G8" s="62">
        <v>14545.84</v>
      </c>
      <c r="H8" s="89">
        <v>30463.63</v>
      </c>
      <c r="I8" s="115">
        <v>112227.23699999999</v>
      </c>
      <c r="J8" s="105"/>
      <c r="K8" s="62"/>
      <c r="L8" s="105"/>
      <c r="M8" s="62"/>
      <c r="N8" s="89"/>
      <c r="O8" s="62"/>
      <c r="P8" s="89"/>
      <c r="Q8" s="62"/>
    </row>
    <row r="9" spans="1:17">
      <c r="A9" s="13">
        <v>44229</v>
      </c>
      <c r="B9" s="103"/>
      <c r="C9" s="19"/>
      <c r="D9" s="103"/>
      <c r="E9" s="19"/>
      <c r="F9" s="103"/>
      <c r="G9" s="19"/>
      <c r="H9" s="109"/>
      <c r="I9" s="42"/>
      <c r="J9" s="103"/>
      <c r="K9" s="14">
        <f>SUM(1324.503*10+759.258+480)</f>
        <v>14484.287999999999</v>
      </c>
      <c r="L9" s="103"/>
      <c r="M9" s="14"/>
      <c r="N9" s="109"/>
      <c r="O9" s="19"/>
      <c r="P9" s="109"/>
      <c r="Q9" s="19"/>
    </row>
    <row r="10" spans="1:17">
      <c r="A10" s="13"/>
      <c r="B10" s="103"/>
      <c r="C10" s="19"/>
      <c r="D10" s="103"/>
      <c r="E10" s="19"/>
      <c r="F10" s="103"/>
      <c r="G10" s="19"/>
      <c r="H10" s="109"/>
      <c r="I10" s="65"/>
      <c r="J10" s="103"/>
      <c r="K10" s="19"/>
      <c r="L10" s="103"/>
      <c r="M10" s="19"/>
      <c r="N10" s="109"/>
      <c r="O10" s="19"/>
      <c r="P10" s="109"/>
      <c r="Q10" s="19"/>
    </row>
    <row r="11" spans="1:17" ht="15">
      <c r="A11" s="7">
        <v>44256</v>
      </c>
      <c r="B11" s="102"/>
      <c r="C11" s="61"/>
      <c r="D11" s="102"/>
      <c r="E11" s="61"/>
      <c r="F11" s="102"/>
      <c r="G11" s="61"/>
      <c r="H11" s="107"/>
      <c r="I11" s="108"/>
      <c r="J11" s="102"/>
      <c r="K11" s="61"/>
      <c r="L11" s="102"/>
      <c r="M11" s="61"/>
      <c r="N11" s="107"/>
      <c r="O11" s="61"/>
      <c r="P11" s="107"/>
      <c r="Q11" s="61"/>
    </row>
    <row r="12" spans="1:17">
      <c r="A12" s="13">
        <v>44265</v>
      </c>
      <c r="B12" s="103"/>
      <c r="C12" s="19"/>
      <c r="D12" s="103"/>
      <c r="E12" s="19"/>
      <c r="F12" s="103"/>
      <c r="G12" s="19"/>
      <c r="H12" s="109"/>
      <c r="I12" s="118"/>
      <c r="J12" s="103"/>
      <c r="K12" s="104">
        <v>12480</v>
      </c>
      <c r="L12" s="103"/>
      <c r="M12" s="104"/>
      <c r="N12" s="109"/>
      <c r="O12" s="19"/>
      <c r="P12" s="109"/>
      <c r="Q12" s="19"/>
    </row>
    <row r="13" spans="1:17">
      <c r="A13" s="13">
        <v>44271</v>
      </c>
      <c r="B13" s="103"/>
      <c r="C13" s="19"/>
      <c r="D13" s="103"/>
      <c r="E13" s="19"/>
      <c r="F13" s="103"/>
      <c r="G13" s="19"/>
      <c r="H13" s="109"/>
      <c r="I13" s="118"/>
      <c r="J13" s="103"/>
      <c r="K13" s="104">
        <f>SUM(1655.629*6+2070+1860+120+3120+632.29+1324.503+1020+7500+3119.29+3117.673+3111.303+3104.596+3000)</f>
        <v>43033.428999999996</v>
      </c>
      <c r="L13" s="103"/>
      <c r="M13" s="104"/>
      <c r="N13" s="109"/>
      <c r="O13" s="19"/>
      <c r="P13" s="109"/>
      <c r="Q13" s="19"/>
    </row>
    <row r="14" spans="1:17">
      <c r="A14" s="13"/>
      <c r="B14" s="110"/>
      <c r="C14" s="88"/>
      <c r="D14" s="110"/>
      <c r="E14" s="88"/>
      <c r="F14" s="110"/>
      <c r="G14" s="88"/>
      <c r="H14" s="111"/>
      <c r="I14" s="112"/>
      <c r="J14" s="110"/>
      <c r="K14" s="88"/>
      <c r="L14" s="110"/>
      <c r="M14" s="88"/>
      <c r="N14" s="111"/>
      <c r="O14" s="88"/>
      <c r="P14" s="111"/>
      <c r="Q14" s="88"/>
    </row>
    <row r="15" spans="1:17" ht="15">
      <c r="A15" s="7">
        <v>44287</v>
      </c>
      <c r="B15" s="102"/>
      <c r="C15" s="61"/>
      <c r="D15" s="102"/>
      <c r="E15" s="61"/>
      <c r="F15" s="102"/>
      <c r="G15" s="61"/>
      <c r="H15" s="107"/>
      <c r="I15" s="108"/>
      <c r="J15" s="102"/>
      <c r="K15" s="61"/>
      <c r="L15" s="102"/>
      <c r="M15" s="61"/>
      <c r="N15" s="107"/>
      <c r="O15" s="61"/>
      <c r="P15" s="107"/>
      <c r="Q15" s="61"/>
    </row>
    <row r="16" spans="1:17" s="1" customFormat="1">
      <c r="A16" s="13">
        <v>44312</v>
      </c>
      <c r="B16" s="105"/>
      <c r="C16" s="62"/>
      <c r="D16" s="105"/>
      <c r="E16" s="62"/>
      <c r="F16" s="105"/>
      <c r="G16" s="62"/>
      <c r="H16" s="89"/>
      <c r="I16" s="115"/>
      <c r="J16" s="105"/>
      <c r="K16" s="62">
        <f>SUM(3118.2+3119.3+3120+3120.951+3121.2+3100+3100+1655.629*8)</f>
        <v>35044.683000000005</v>
      </c>
      <c r="L16" s="105"/>
      <c r="M16" s="62"/>
      <c r="N16" s="89"/>
      <c r="O16" s="62"/>
      <c r="P16" s="89"/>
      <c r="Q16" s="62"/>
    </row>
    <row r="17" spans="1:17">
      <c r="A17" s="13">
        <v>44314</v>
      </c>
      <c r="B17" s="103"/>
      <c r="C17" s="19"/>
      <c r="D17" s="103"/>
      <c r="E17" s="19"/>
      <c r="F17" s="103"/>
      <c r="G17" s="19"/>
      <c r="H17" s="109">
        <v>30000</v>
      </c>
      <c r="I17" s="65">
        <v>96744.236999999994</v>
      </c>
      <c r="J17" s="103"/>
      <c r="K17" s="19"/>
      <c r="L17" s="103"/>
      <c r="M17" s="19"/>
      <c r="N17" s="109"/>
      <c r="O17" s="19"/>
      <c r="P17" s="109"/>
      <c r="Q17" s="19"/>
    </row>
    <row r="18" spans="1:17">
      <c r="A18" s="13">
        <v>44314</v>
      </c>
      <c r="B18" s="103"/>
      <c r="C18" s="19"/>
      <c r="D18" s="103"/>
      <c r="E18" s="19"/>
      <c r="F18" s="103"/>
      <c r="G18" s="19"/>
      <c r="H18" s="109"/>
      <c r="I18" s="65"/>
      <c r="J18" s="103"/>
      <c r="K18" s="19">
        <f>SUM(1324.503*2)</f>
        <v>2649.0059999999999</v>
      </c>
      <c r="L18" s="103"/>
      <c r="M18" s="19"/>
      <c r="N18" s="109"/>
      <c r="O18" s="19"/>
      <c r="P18" s="109"/>
      <c r="Q18" s="19"/>
    </row>
    <row r="19" spans="1:17" ht="15">
      <c r="A19" s="7">
        <v>44317</v>
      </c>
      <c r="B19" s="102"/>
      <c r="C19" s="61"/>
      <c r="D19" s="102"/>
      <c r="E19" s="61"/>
      <c r="F19" s="102"/>
      <c r="G19" s="61"/>
      <c r="H19" s="107"/>
      <c r="I19" s="108"/>
      <c r="J19" s="102"/>
      <c r="K19" s="61"/>
      <c r="L19" s="102"/>
      <c r="M19" s="61"/>
      <c r="N19" s="107"/>
      <c r="O19" s="61"/>
      <c r="P19" s="107"/>
      <c r="Q19" s="61"/>
    </row>
    <row r="20" spans="1:17">
      <c r="A20" s="13">
        <v>44322</v>
      </c>
      <c r="B20" s="103"/>
      <c r="C20" s="19"/>
      <c r="D20" s="103"/>
      <c r="E20" s="19"/>
      <c r="F20" s="103"/>
      <c r="G20" s="19"/>
      <c r="H20" s="109"/>
      <c r="I20" s="118"/>
      <c r="J20" s="103"/>
      <c r="K20" s="104">
        <f>SUM(1655.629+3117.909)</f>
        <v>4773.5380000000005</v>
      </c>
      <c r="L20" s="103"/>
      <c r="M20" s="104"/>
      <c r="N20" s="109"/>
      <c r="O20" s="19"/>
      <c r="P20" s="109"/>
      <c r="Q20" s="19"/>
    </row>
    <row r="21" spans="1:17">
      <c r="A21" s="13">
        <v>44337</v>
      </c>
      <c r="B21" s="103"/>
      <c r="C21" s="19"/>
      <c r="D21" s="103"/>
      <c r="E21" s="19"/>
      <c r="F21" s="103"/>
      <c r="G21" s="19"/>
      <c r="H21" s="109"/>
      <c r="I21" s="118"/>
      <c r="J21" s="103"/>
      <c r="K21" s="104">
        <v>1324.5029999999999</v>
      </c>
      <c r="L21" s="103"/>
      <c r="M21" s="104"/>
      <c r="N21" s="109"/>
      <c r="O21" s="19"/>
      <c r="P21" s="109"/>
      <c r="Q21" s="19"/>
    </row>
    <row r="22" spans="1:17">
      <c r="A22" s="13"/>
      <c r="B22" s="110"/>
      <c r="C22" s="88"/>
      <c r="D22" s="110"/>
      <c r="E22" s="88"/>
      <c r="F22" s="110"/>
      <c r="G22" s="88"/>
      <c r="H22" s="111"/>
      <c r="I22" s="121"/>
      <c r="J22" s="110"/>
      <c r="K22" s="122"/>
      <c r="L22" s="110"/>
      <c r="M22" s="122"/>
      <c r="N22" s="111"/>
      <c r="O22" s="88"/>
      <c r="P22" s="111"/>
      <c r="Q22" s="88"/>
    </row>
    <row r="23" spans="1:17">
      <c r="A23" s="13"/>
      <c r="B23" s="110"/>
      <c r="C23" s="88"/>
      <c r="D23" s="110"/>
      <c r="E23" s="88"/>
      <c r="F23" s="110"/>
      <c r="G23" s="88"/>
      <c r="H23" s="111"/>
      <c r="I23" s="118"/>
      <c r="J23" s="110"/>
      <c r="K23" s="104"/>
      <c r="L23" s="110"/>
      <c r="M23" s="104"/>
      <c r="N23" s="111"/>
      <c r="O23" s="88"/>
      <c r="P23" s="111"/>
      <c r="Q23" s="88"/>
    </row>
    <row r="24" spans="1:17">
      <c r="A24" s="13"/>
      <c r="B24" s="110"/>
      <c r="C24" s="88"/>
      <c r="D24" s="110"/>
      <c r="E24" s="88"/>
      <c r="F24" s="110"/>
      <c r="G24" s="88"/>
      <c r="H24" s="109"/>
      <c r="I24" s="118"/>
      <c r="J24" s="103"/>
      <c r="K24" s="104"/>
      <c r="L24" s="103"/>
      <c r="M24" s="104"/>
      <c r="N24" s="111"/>
      <c r="O24" s="14"/>
      <c r="P24" s="111"/>
      <c r="Q24" s="14"/>
    </row>
    <row r="25" spans="1:17" ht="15">
      <c r="A25" s="7">
        <v>44348</v>
      </c>
      <c r="B25" s="102"/>
      <c r="C25" s="61"/>
      <c r="D25" s="102"/>
      <c r="E25" s="61"/>
      <c r="F25" s="102"/>
      <c r="G25" s="61"/>
      <c r="H25" s="107"/>
      <c r="I25" s="108"/>
      <c r="J25" s="102"/>
      <c r="K25" s="61"/>
      <c r="L25" s="102"/>
      <c r="M25" s="61"/>
      <c r="N25" s="107"/>
      <c r="O25" s="61"/>
      <c r="P25" s="107"/>
      <c r="Q25" s="61"/>
    </row>
    <row r="26" spans="1:17" s="1" customFormat="1">
      <c r="A26" s="13">
        <v>44355</v>
      </c>
      <c r="B26" s="105"/>
      <c r="C26" s="62"/>
      <c r="D26" s="105"/>
      <c r="E26" s="62"/>
      <c r="F26" s="105"/>
      <c r="G26" s="62"/>
      <c r="H26" s="89"/>
      <c r="I26" s="115"/>
      <c r="J26" s="105"/>
      <c r="K26" s="62">
        <f>SUM(1324.503*2)</f>
        <v>2649.0059999999999</v>
      </c>
      <c r="L26" s="105"/>
      <c r="M26" s="62"/>
      <c r="N26" s="89"/>
      <c r="O26" s="62"/>
      <c r="P26" s="89"/>
      <c r="Q26" s="62"/>
    </row>
    <row r="27" spans="1:17" s="1" customFormat="1">
      <c r="A27" s="13">
        <v>44361</v>
      </c>
      <c r="B27" s="105"/>
      <c r="C27" s="62"/>
      <c r="D27" s="105"/>
      <c r="E27" s="62"/>
      <c r="F27" s="105"/>
      <c r="G27" s="62"/>
      <c r="H27" s="89"/>
      <c r="I27" s="115"/>
      <c r="J27" s="105"/>
      <c r="K27" s="62">
        <f>SUM(220.076+662.252*2+132.45)</f>
        <v>1677.03</v>
      </c>
      <c r="L27" s="105"/>
      <c r="M27" s="62"/>
      <c r="N27" s="89"/>
      <c r="O27" s="62"/>
      <c r="P27" s="89"/>
      <c r="Q27" s="62"/>
    </row>
    <row r="28" spans="1:17">
      <c r="A28" s="13">
        <v>44376</v>
      </c>
      <c r="B28" s="103"/>
      <c r="C28" s="19"/>
      <c r="D28" s="103"/>
      <c r="E28" s="19"/>
      <c r="F28" s="103">
        <v>370.73</v>
      </c>
      <c r="G28" s="19">
        <v>1191.9000000000001</v>
      </c>
      <c r="H28" s="109">
        <v>34630</v>
      </c>
      <c r="I28" s="65">
        <v>113053.23699999999</v>
      </c>
      <c r="J28" s="103"/>
      <c r="K28" s="19"/>
      <c r="L28" s="103"/>
      <c r="M28" s="19"/>
      <c r="N28" s="109"/>
      <c r="O28" s="19"/>
      <c r="P28" s="109"/>
      <c r="Q28" s="19"/>
    </row>
    <row r="29" spans="1:17" ht="15">
      <c r="A29" s="7">
        <v>44378</v>
      </c>
      <c r="B29" s="102"/>
      <c r="C29" s="61"/>
      <c r="D29" s="102"/>
      <c r="E29" s="61"/>
      <c r="F29" s="102"/>
      <c r="G29" s="61"/>
      <c r="H29" s="107"/>
      <c r="I29" s="108"/>
      <c r="J29" s="102"/>
      <c r="K29" s="61"/>
      <c r="L29" s="102"/>
      <c r="M29" s="61"/>
      <c r="N29" s="107"/>
      <c r="O29" s="61"/>
      <c r="P29" s="107"/>
      <c r="Q29" s="61"/>
    </row>
    <row r="30" spans="1:17">
      <c r="A30" s="13">
        <v>44382</v>
      </c>
      <c r="B30" s="103"/>
      <c r="C30" s="19"/>
      <c r="D30" s="103">
        <v>2000</v>
      </c>
      <c r="E30" s="19">
        <v>6545.8879999999999</v>
      </c>
      <c r="F30" s="103"/>
      <c r="G30" s="19"/>
      <c r="H30" s="109"/>
      <c r="I30" s="65"/>
      <c r="J30" s="103"/>
      <c r="K30" s="19"/>
      <c r="L30" s="103"/>
      <c r="M30" s="19"/>
      <c r="N30" s="109"/>
      <c r="O30" s="19"/>
      <c r="P30" s="109"/>
      <c r="Q30" s="19"/>
    </row>
    <row r="31" spans="1:17">
      <c r="A31" s="13"/>
      <c r="B31" s="103"/>
      <c r="C31" s="19"/>
      <c r="D31" s="103"/>
      <c r="E31" s="19"/>
      <c r="F31" s="103"/>
      <c r="G31" s="19"/>
      <c r="H31" s="109"/>
      <c r="I31" s="65"/>
      <c r="J31" s="103"/>
      <c r="K31" s="19"/>
      <c r="L31" s="103"/>
      <c r="M31" s="19"/>
      <c r="N31" s="109"/>
      <c r="O31" s="19"/>
      <c r="P31" s="109"/>
      <c r="Q31" s="19"/>
    </row>
    <row r="32" spans="1:17" ht="15">
      <c r="A32" s="7">
        <v>44409</v>
      </c>
      <c r="B32" s="102"/>
      <c r="C32" s="61"/>
      <c r="D32" s="102"/>
      <c r="E32" s="61"/>
      <c r="F32" s="102"/>
      <c r="G32" s="61"/>
      <c r="H32" s="107"/>
      <c r="I32" s="108"/>
      <c r="J32" s="102"/>
      <c r="K32" s="61"/>
      <c r="L32" s="102"/>
      <c r="M32" s="61"/>
      <c r="N32" s="107"/>
      <c r="O32" s="61"/>
      <c r="P32" s="107"/>
      <c r="Q32" s="61"/>
    </row>
    <row r="33" spans="1:17">
      <c r="A33" s="13">
        <v>44410</v>
      </c>
      <c r="B33" s="103"/>
      <c r="C33" s="19"/>
      <c r="D33" s="103"/>
      <c r="E33" s="19"/>
      <c r="F33" s="103"/>
      <c r="G33" s="19"/>
      <c r="H33" s="109"/>
      <c r="I33" s="65"/>
      <c r="J33" s="103"/>
      <c r="K33" s="19">
        <f>SUM(12480*2)</f>
        <v>24960</v>
      </c>
      <c r="L33" s="103"/>
      <c r="M33" s="19"/>
      <c r="N33" s="109"/>
      <c r="O33" s="14"/>
      <c r="P33" s="109"/>
      <c r="Q33" s="14"/>
    </row>
    <row r="34" spans="1:17">
      <c r="A34" s="13">
        <v>44413</v>
      </c>
      <c r="B34" s="103"/>
      <c r="C34" s="19"/>
      <c r="D34" s="103"/>
      <c r="E34" s="19"/>
      <c r="F34" s="103"/>
      <c r="G34" s="19"/>
      <c r="H34" s="109">
        <v>30000</v>
      </c>
      <c r="I34" s="65">
        <v>95766.236999999994</v>
      </c>
      <c r="J34" s="103"/>
      <c r="K34" s="19"/>
      <c r="L34" s="103"/>
      <c r="M34" s="19"/>
      <c r="N34" s="109"/>
      <c r="O34" s="14"/>
      <c r="P34" s="109"/>
      <c r="Q34" s="14"/>
    </row>
    <row r="35" spans="1:17">
      <c r="A35" s="13">
        <v>44417</v>
      </c>
      <c r="B35" s="103"/>
      <c r="C35" s="19"/>
      <c r="D35" s="103"/>
      <c r="E35" s="19"/>
      <c r="F35" s="103"/>
      <c r="G35" s="19"/>
      <c r="H35" s="109"/>
      <c r="I35" s="65"/>
      <c r="J35" s="103"/>
      <c r="K35" s="19">
        <v>1324.5029999999999</v>
      </c>
      <c r="L35" s="103"/>
      <c r="M35" s="19"/>
      <c r="N35" s="109"/>
      <c r="O35" s="19"/>
      <c r="P35" s="109"/>
      <c r="Q35" s="19"/>
    </row>
    <row r="36" spans="1:17">
      <c r="A36" s="13">
        <v>44420</v>
      </c>
      <c r="B36" s="103"/>
      <c r="C36" s="19"/>
      <c r="D36" s="105">
        <v>5800</v>
      </c>
      <c r="E36" s="19">
        <v>18724.367999999999</v>
      </c>
      <c r="F36" s="103"/>
      <c r="G36" s="19"/>
      <c r="H36" s="109"/>
      <c r="I36" s="65"/>
      <c r="J36" s="103"/>
      <c r="K36" s="19"/>
      <c r="L36" s="103"/>
      <c r="M36" s="19"/>
      <c r="N36" s="109"/>
      <c r="O36" s="19"/>
      <c r="P36" s="109"/>
      <c r="Q36" s="19"/>
    </row>
    <row r="37" spans="1:17">
      <c r="A37" s="13">
        <v>44433</v>
      </c>
      <c r="B37" s="103"/>
      <c r="C37" s="19"/>
      <c r="D37" s="103"/>
      <c r="E37" s="19"/>
      <c r="F37" s="103"/>
      <c r="G37" s="19"/>
      <c r="H37" s="109"/>
      <c r="I37" s="65"/>
      <c r="J37" s="103"/>
      <c r="K37" s="19">
        <f>SUM(12480+12477.91)</f>
        <v>24957.91</v>
      </c>
      <c r="L37" s="103"/>
      <c r="M37" s="19"/>
      <c r="N37" s="109"/>
      <c r="O37" s="19"/>
      <c r="P37" s="109"/>
      <c r="Q37" s="19"/>
    </row>
    <row r="38" spans="1:17" ht="15">
      <c r="A38" s="7">
        <v>44440</v>
      </c>
      <c r="B38" s="102"/>
      <c r="C38" s="61"/>
      <c r="D38" s="102"/>
      <c r="E38" s="61"/>
      <c r="F38" s="102"/>
      <c r="G38" s="61"/>
      <c r="H38" s="107"/>
      <c r="I38" s="108"/>
      <c r="J38" s="102"/>
      <c r="K38" s="61"/>
      <c r="L38" s="102"/>
      <c r="M38" s="61"/>
      <c r="N38" s="107"/>
      <c r="O38" s="61"/>
      <c r="P38" s="107"/>
      <c r="Q38" s="61"/>
    </row>
    <row r="39" spans="1:17">
      <c r="A39" s="13">
        <v>44468</v>
      </c>
      <c r="B39" s="105"/>
      <c r="C39" s="62"/>
      <c r="D39" s="105"/>
      <c r="E39" s="62"/>
      <c r="F39" s="105"/>
      <c r="G39" s="62"/>
      <c r="H39" s="89"/>
      <c r="I39" s="115"/>
      <c r="J39" s="105"/>
      <c r="K39" s="62"/>
      <c r="L39" s="105"/>
      <c r="M39" s="62"/>
      <c r="N39" s="89"/>
      <c r="O39" s="62"/>
      <c r="P39" s="89" t="s">
        <v>75</v>
      </c>
      <c r="Q39" s="62">
        <v>40000</v>
      </c>
    </row>
    <row r="40" spans="1:17" hidden="1">
      <c r="A40" s="13"/>
      <c r="B40" s="103"/>
      <c r="C40" s="19"/>
      <c r="D40" s="103"/>
      <c r="E40" s="19"/>
      <c r="F40" s="103"/>
      <c r="G40" s="19"/>
      <c r="H40" s="109"/>
      <c r="I40" s="65"/>
      <c r="J40" s="103"/>
      <c r="K40" s="19"/>
      <c r="L40" s="103"/>
      <c r="M40" s="19"/>
      <c r="N40" s="109"/>
      <c r="O40" s="19"/>
      <c r="P40" s="109"/>
      <c r="Q40" s="19"/>
    </row>
    <row r="41" spans="1:17" ht="15">
      <c r="A41" s="7">
        <v>44470</v>
      </c>
      <c r="B41" s="102"/>
      <c r="C41" s="61"/>
      <c r="D41" s="102"/>
      <c r="E41" s="61"/>
      <c r="F41" s="102"/>
      <c r="G41" s="61"/>
      <c r="H41" s="107"/>
      <c r="I41" s="108"/>
      <c r="J41" s="102"/>
      <c r="K41" s="61"/>
      <c r="L41" s="102"/>
      <c r="M41" s="61"/>
      <c r="N41" s="107"/>
      <c r="O41" s="61"/>
      <c r="P41" s="107"/>
      <c r="Q41" s="61"/>
    </row>
    <row r="42" spans="1:17">
      <c r="A42" s="13">
        <v>44497</v>
      </c>
      <c r="B42" s="103"/>
      <c r="C42" s="19"/>
      <c r="D42" s="103"/>
      <c r="E42" s="19"/>
      <c r="F42" s="103"/>
      <c r="G42" s="19"/>
      <c r="H42" s="109"/>
      <c r="I42" s="42"/>
      <c r="J42" s="103"/>
      <c r="K42" s="14">
        <v>1324.5029999999999</v>
      </c>
      <c r="L42" s="103"/>
      <c r="M42" s="14"/>
      <c r="N42" s="109"/>
      <c r="O42" s="19"/>
      <c r="P42" s="109"/>
      <c r="Q42" s="19"/>
    </row>
    <row r="43" spans="1:17">
      <c r="A43" s="13"/>
      <c r="B43" s="103"/>
      <c r="C43" s="19"/>
      <c r="D43" s="103"/>
      <c r="E43" s="19"/>
      <c r="F43" s="103"/>
      <c r="G43" s="19"/>
      <c r="H43" s="109"/>
      <c r="I43" s="65"/>
      <c r="J43" s="103"/>
      <c r="K43" s="19"/>
      <c r="L43" s="103"/>
      <c r="M43" s="19"/>
      <c r="N43" s="109"/>
      <c r="O43" s="19"/>
      <c r="P43" s="109"/>
      <c r="Q43" s="19"/>
    </row>
    <row r="44" spans="1:17">
      <c r="A44" s="13"/>
      <c r="B44" s="103"/>
      <c r="C44" s="19"/>
      <c r="D44" s="103"/>
      <c r="E44" s="19"/>
      <c r="F44" s="103"/>
      <c r="G44" s="19"/>
      <c r="H44" s="109"/>
      <c r="I44" s="65"/>
      <c r="J44" s="103"/>
      <c r="K44" s="19"/>
      <c r="L44" s="103"/>
      <c r="M44" s="19"/>
      <c r="N44" s="109"/>
      <c r="O44" s="19"/>
      <c r="P44" s="109"/>
      <c r="Q44" s="19"/>
    </row>
    <row r="45" spans="1:17">
      <c r="A45" s="13"/>
      <c r="B45" s="103"/>
      <c r="C45" s="19"/>
      <c r="D45" s="103"/>
      <c r="E45" s="19"/>
      <c r="F45" s="103"/>
      <c r="G45" s="19"/>
      <c r="H45" s="109"/>
      <c r="I45" s="65"/>
      <c r="J45" s="103"/>
      <c r="K45" s="19"/>
      <c r="L45" s="103"/>
      <c r="M45" s="19"/>
      <c r="N45" s="109"/>
      <c r="O45" s="19"/>
      <c r="P45" s="109"/>
      <c r="Q45" s="19"/>
    </row>
    <row r="46" spans="1:17" ht="15">
      <c r="A46" s="7">
        <v>44501</v>
      </c>
      <c r="B46" s="102"/>
      <c r="C46" s="61"/>
      <c r="D46" s="102"/>
      <c r="E46" s="61"/>
      <c r="F46" s="102"/>
      <c r="G46" s="61"/>
      <c r="H46" s="107"/>
      <c r="I46" s="108"/>
      <c r="J46" s="102"/>
      <c r="K46" s="61"/>
      <c r="L46" s="102"/>
      <c r="M46" s="61"/>
      <c r="N46" s="107"/>
      <c r="O46" s="61"/>
      <c r="P46" s="107"/>
      <c r="Q46" s="61"/>
    </row>
    <row r="47" spans="1:17">
      <c r="A47" s="13">
        <v>44519</v>
      </c>
      <c r="B47" s="103"/>
      <c r="C47" s="19"/>
      <c r="D47" s="103">
        <v>635</v>
      </c>
      <c r="E47" s="19">
        <v>1687.07</v>
      </c>
      <c r="F47" s="103"/>
      <c r="G47" s="19"/>
      <c r="H47" s="109"/>
      <c r="I47" s="42"/>
      <c r="J47" s="103"/>
      <c r="K47" s="19"/>
      <c r="L47" s="103"/>
      <c r="M47" s="19"/>
      <c r="N47" s="109"/>
      <c r="O47" s="19"/>
      <c r="P47" s="109"/>
      <c r="Q47" s="19"/>
    </row>
    <row r="48" spans="1:17">
      <c r="A48" s="13">
        <v>44526</v>
      </c>
      <c r="B48" s="103"/>
      <c r="C48" s="19"/>
      <c r="D48" s="103"/>
      <c r="E48" s="19"/>
      <c r="F48" s="103"/>
      <c r="G48" s="19"/>
      <c r="H48" s="109"/>
      <c r="I48" s="42"/>
      <c r="J48" s="103"/>
      <c r="K48" s="19">
        <f>SUM(1655.629+3120+1324.503)</f>
        <v>6100.1319999999996</v>
      </c>
      <c r="L48" s="103"/>
      <c r="M48" s="19"/>
      <c r="N48" s="109"/>
      <c r="O48" s="19"/>
      <c r="P48" s="109"/>
      <c r="Q48" s="19"/>
    </row>
    <row r="49" spans="1:17" ht="15">
      <c r="A49" s="7">
        <v>44531</v>
      </c>
      <c r="B49" s="102"/>
      <c r="C49" s="61"/>
      <c r="D49" s="102"/>
      <c r="E49" s="61"/>
      <c r="F49" s="102"/>
      <c r="G49" s="61"/>
      <c r="H49" s="107"/>
      <c r="I49" s="108"/>
      <c r="J49" s="102"/>
      <c r="K49" s="61"/>
      <c r="L49" s="102"/>
      <c r="M49" s="61"/>
      <c r="N49" s="107"/>
      <c r="O49" s="61"/>
      <c r="P49" s="107"/>
      <c r="Q49" s="61"/>
    </row>
    <row r="50" spans="1:17" s="1" customFormat="1">
      <c r="A50" s="13">
        <v>44532</v>
      </c>
      <c r="B50" s="105"/>
      <c r="C50" s="62"/>
      <c r="D50" s="105"/>
      <c r="E50" s="62"/>
      <c r="F50" s="105"/>
      <c r="G50" s="62"/>
      <c r="H50" s="89"/>
      <c r="I50" s="115"/>
      <c r="J50" s="105"/>
      <c r="K50" s="62">
        <f>SUM(1655.629+3117.995)</f>
        <v>4773.6239999999998</v>
      </c>
      <c r="L50" s="105"/>
      <c r="M50" s="62"/>
      <c r="N50" s="89"/>
      <c r="O50" s="62"/>
      <c r="P50" s="89"/>
      <c r="Q50" s="62"/>
    </row>
    <row r="51" spans="1:17" s="1" customFormat="1">
      <c r="A51" s="13">
        <v>44533</v>
      </c>
      <c r="B51" s="105"/>
      <c r="C51" s="62"/>
      <c r="D51" s="105"/>
      <c r="E51" s="62"/>
      <c r="F51" s="105"/>
      <c r="G51" s="62"/>
      <c r="H51" s="89"/>
      <c r="I51" s="115"/>
      <c r="J51" s="105"/>
      <c r="K51" s="62">
        <v>1200</v>
      </c>
      <c r="L51" s="105"/>
      <c r="M51" s="62"/>
      <c r="N51" s="89"/>
      <c r="O51" s="62"/>
      <c r="P51" s="89"/>
      <c r="Q51" s="62"/>
    </row>
    <row r="52" spans="1:17" s="1" customFormat="1">
      <c r="A52" s="13">
        <v>44536</v>
      </c>
      <c r="B52" s="105"/>
      <c r="C52" s="62"/>
      <c r="D52" s="105"/>
      <c r="E52" s="62"/>
      <c r="F52" s="105"/>
      <c r="G52" s="62"/>
      <c r="H52" s="89"/>
      <c r="I52" s="115"/>
      <c r="J52" s="105"/>
      <c r="K52" s="62">
        <f>SUM(1324.503*2+1200)</f>
        <v>3849.0059999999999</v>
      </c>
      <c r="L52" s="105"/>
      <c r="M52" s="62"/>
      <c r="N52" s="89"/>
      <c r="O52" s="62"/>
      <c r="P52" s="89"/>
      <c r="Q52" s="62"/>
    </row>
    <row r="53" spans="1:17">
      <c r="A53" s="13">
        <v>44543</v>
      </c>
      <c r="B53" s="103"/>
      <c r="C53" s="19"/>
      <c r="D53" s="103"/>
      <c r="E53" s="19"/>
      <c r="F53" s="103"/>
      <c r="G53" s="19"/>
      <c r="H53" s="109">
        <v>20000</v>
      </c>
      <c r="I53" s="65">
        <v>63590.237000000001</v>
      </c>
      <c r="J53" s="103"/>
      <c r="K53" s="19"/>
      <c r="L53" s="103"/>
      <c r="M53" s="19"/>
      <c r="N53" s="109"/>
      <c r="O53" s="19"/>
      <c r="P53" s="109"/>
      <c r="Q53" s="19"/>
    </row>
    <row r="54" spans="1:17">
      <c r="A54" s="13">
        <v>44561</v>
      </c>
      <c r="B54" s="103"/>
      <c r="C54" s="19"/>
      <c r="D54" s="103"/>
      <c r="E54" s="19">
        <v>1684.5029999999999</v>
      </c>
      <c r="F54" s="103"/>
      <c r="G54" s="19"/>
      <c r="H54" s="109"/>
      <c r="I54" s="65"/>
      <c r="J54" s="103"/>
      <c r="K54" s="19"/>
      <c r="L54" s="103"/>
      <c r="M54" s="19"/>
      <c r="N54" s="109"/>
      <c r="O54" s="19"/>
      <c r="P54" s="109"/>
      <c r="Q54" s="19"/>
    </row>
    <row r="55" spans="1:17" ht="15">
      <c r="A55" s="20" t="s">
        <v>8</v>
      </c>
      <c r="B55" s="21">
        <f t="shared" ref="B55:O55" si="0">SUM(B4:B54)</f>
        <v>0</v>
      </c>
      <c r="C55" s="22">
        <f t="shared" si="0"/>
        <v>0</v>
      </c>
      <c r="D55" s="21">
        <f t="shared" si="0"/>
        <v>8435</v>
      </c>
      <c r="E55" s="22">
        <f t="shared" si="0"/>
        <v>37300.147999999994</v>
      </c>
      <c r="F55" s="21">
        <f t="shared" si="0"/>
        <v>4907.1000000000004</v>
      </c>
      <c r="G55" s="22">
        <f t="shared" si="0"/>
        <v>15737.74</v>
      </c>
      <c r="H55" s="38">
        <f t="shared" si="0"/>
        <v>145093.63</v>
      </c>
      <c r="I55" s="43">
        <f t="shared" si="0"/>
        <v>481381.185</v>
      </c>
      <c r="J55" s="21">
        <f t="shared" si="0"/>
        <v>0</v>
      </c>
      <c r="K55" s="22">
        <f t="shared" si="0"/>
        <v>186605.16100000002</v>
      </c>
      <c r="L55" s="21">
        <f t="shared" si="0"/>
        <v>10961.992812499999</v>
      </c>
      <c r="M55" s="22">
        <f t="shared" si="0"/>
        <v>35078.377</v>
      </c>
      <c r="N55" s="38">
        <f t="shared" si="0"/>
        <v>0</v>
      </c>
      <c r="O55" s="22">
        <f t="shared" si="0"/>
        <v>0</v>
      </c>
      <c r="P55" s="38">
        <f t="shared" ref="P55:Q55" si="1">SUM(P4:P54)</f>
        <v>0</v>
      </c>
      <c r="Q55" s="22">
        <f t="shared" si="1"/>
        <v>40000</v>
      </c>
    </row>
    <row r="56" spans="1:17" s="1" customFormat="1" ht="15">
      <c r="A56" s="23"/>
      <c r="B56" s="30"/>
      <c r="C56" s="30"/>
      <c r="D56" s="31"/>
      <c r="E56" s="24"/>
      <c r="F56" s="24"/>
      <c r="G56" s="24"/>
      <c r="H56" s="24"/>
      <c r="I56" s="24"/>
      <c r="J56" s="24"/>
      <c r="K56" s="24"/>
      <c r="L56" s="24"/>
      <c r="M56" s="24"/>
      <c r="N56" s="24"/>
      <c r="O56" s="24"/>
      <c r="P56" s="24"/>
      <c r="Q56" s="24"/>
    </row>
    <row r="57" spans="1:17" ht="15">
      <c r="A57" s="25" t="s">
        <v>9</v>
      </c>
      <c r="B57" s="32">
        <f>B55+F55+H55+J55+N55+L55+P55+D55</f>
        <v>169397.7228125</v>
      </c>
      <c r="C57" s="32">
        <f>C55+G55+I55+K55+O55+M55+Q55+E55</f>
        <v>796102.61100000003</v>
      </c>
      <c r="D57" s="33"/>
      <c r="E57" s="34"/>
      <c r="F57" s="34"/>
      <c r="G57" s="34"/>
      <c r="H57" s="35"/>
      <c r="I57" s="35"/>
      <c r="J57" s="35"/>
      <c r="K57" s="35"/>
      <c r="L57" s="35"/>
      <c r="M57" s="35"/>
      <c r="N57" s="35"/>
      <c r="O57" s="35"/>
      <c r="P57" s="35"/>
      <c r="Q57" s="35"/>
    </row>
    <row r="58" spans="1:17">
      <c r="F58" s="1"/>
      <c r="G58" s="1"/>
    </row>
    <row r="59" spans="1:17" ht="15">
      <c r="A59" s="44" t="s">
        <v>10</v>
      </c>
      <c r="B59" s="226" t="s">
        <v>11</v>
      </c>
      <c r="C59" s="226"/>
      <c r="D59" s="226"/>
      <c r="E59" s="226" t="s">
        <v>36</v>
      </c>
      <c r="F59" s="226"/>
      <c r="G59" s="226" t="s">
        <v>37</v>
      </c>
      <c r="H59" s="226"/>
    </row>
    <row r="60" spans="1:17" ht="80.099999999999994" customHeight="1">
      <c r="A60" s="236" t="s">
        <v>38</v>
      </c>
      <c r="B60" s="206" t="s">
        <v>39</v>
      </c>
      <c r="C60" s="206"/>
      <c r="D60" s="206"/>
      <c r="E60" s="206" t="s">
        <v>40</v>
      </c>
      <c r="F60" s="206"/>
      <c r="G60" s="206" t="s">
        <v>17</v>
      </c>
      <c r="H60" s="206"/>
      <c r="J60" s="45">
        <v>44244</v>
      </c>
      <c r="K60">
        <v>1601.336</v>
      </c>
      <c r="L60" t="s">
        <v>59</v>
      </c>
    </row>
    <row r="61" spans="1:17" ht="80.099999999999994" customHeight="1">
      <c r="A61" s="236"/>
      <c r="B61" s="206"/>
      <c r="C61" s="206"/>
      <c r="D61" s="206"/>
      <c r="E61" s="206"/>
      <c r="F61" s="206"/>
      <c r="G61" s="206"/>
      <c r="H61" s="206"/>
    </row>
    <row r="62" spans="1:17" ht="80.099999999999994" customHeight="1">
      <c r="A62" s="237" t="s">
        <v>41</v>
      </c>
      <c r="B62" s="206" t="s">
        <v>42</v>
      </c>
      <c r="C62" s="206"/>
      <c r="D62" s="206"/>
      <c r="E62" s="206" t="s">
        <v>40</v>
      </c>
      <c r="F62" s="206"/>
      <c r="G62" s="206" t="s">
        <v>17</v>
      </c>
      <c r="H62" s="206"/>
    </row>
    <row r="63" spans="1:17" ht="80.099999999999994" customHeight="1">
      <c r="A63" s="237"/>
      <c r="B63" s="206"/>
      <c r="C63" s="206"/>
      <c r="D63" s="206"/>
      <c r="E63" s="206"/>
      <c r="F63" s="206"/>
      <c r="G63" s="206"/>
      <c r="H63" s="206"/>
    </row>
    <row r="64" spans="1:17" ht="80.099999999999994" customHeight="1">
      <c r="A64" s="238" t="s">
        <v>14</v>
      </c>
      <c r="B64" s="207" t="s">
        <v>15</v>
      </c>
      <c r="C64" s="207"/>
      <c r="D64" s="207"/>
      <c r="E64" s="207" t="s">
        <v>16</v>
      </c>
      <c r="F64" s="207"/>
      <c r="G64" s="207" t="s">
        <v>17</v>
      </c>
      <c r="H64" s="207"/>
    </row>
    <row r="65" spans="1:8" ht="80.099999999999994" customHeight="1">
      <c r="A65" s="238"/>
      <c r="B65" s="207"/>
      <c r="C65" s="207"/>
      <c r="D65" s="207"/>
      <c r="E65" s="207"/>
      <c r="F65" s="207"/>
      <c r="G65" s="207"/>
      <c r="H65" s="207"/>
    </row>
    <row r="66" spans="1:8" ht="80.099999999999994" customHeight="1">
      <c r="A66" s="239" t="s">
        <v>43</v>
      </c>
      <c r="B66" s="206" t="s">
        <v>44</v>
      </c>
      <c r="C66" s="206"/>
      <c r="D66" s="206"/>
      <c r="E66" s="206" t="s">
        <v>45</v>
      </c>
      <c r="F66" s="206"/>
      <c r="G66" s="206" t="s">
        <v>17</v>
      </c>
      <c r="H66" s="206"/>
    </row>
    <row r="67" spans="1:8" ht="80.099999999999994" customHeight="1">
      <c r="A67" s="239"/>
      <c r="B67" s="206"/>
      <c r="C67" s="206"/>
      <c r="D67" s="206"/>
      <c r="E67" s="206"/>
      <c r="F67" s="206"/>
      <c r="G67" s="206"/>
      <c r="H67" s="206"/>
    </row>
    <row r="68" spans="1:8" ht="80.099999999999994" customHeight="1">
      <c r="A68" s="240" t="s">
        <v>18</v>
      </c>
      <c r="B68" s="207" t="s">
        <v>19</v>
      </c>
      <c r="C68" s="207"/>
      <c r="D68" s="207"/>
      <c r="E68" s="207" t="s">
        <v>20</v>
      </c>
      <c r="F68" s="207"/>
      <c r="G68" s="207" t="s">
        <v>21</v>
      </c>
      <c r="H68" s="207"/>
    </row>
    <row r="69" spans="1:8" ht="80.099999999999994" customHeight="1">
      <c r="A69" s="240"/>
      <c r="B69" s="207"/>
      <c r="C69" s="207"/>
      <c r="D69" s="207"/>
      <c r="E69" s="207"/>
      <c r="F69" s="207"/>
      <c r="G69" s="207"/>
      <c r="H69" s="207"/>
    </row>
    <row r="70" spans="1:8" ht="80.099999999999994" customHeight="1">
      <c r="A70" s="246" t="s">
        <v>60</v>
      </c>
      <c r="B70" s="206" t="s">
        <v>61</v>
      </c>
      <c r="C70" s="206"/>
      <c r="D70" s="206"/>
      <c r="E70" s="207" t="s">
        <v>62</v>
      </c>
      <c r="F70" s="207"/>
      <c r="G70" s="207" t="s">
        <v>17</v>
      </c>
      <c r="H70" s="207"/>
    </row>
    <row r="71" spans="1:8" ht="80.099999999999994" customHeight="1">
      <c r="A71" s="246"/>
      <c r="B71" s="206"/>
      <c r="C71" s="206"/>
      <c r="D71" s="206"/>
      <c r="E71" s="207"/>
      <c r="F71" s="207"/>
      <c r="G71" s="207"/>
      <c r="H71" s="207"/>
    </row>
    <row r="72" spans="1:8" ht="80.099999999999994" customHeight="1">
      <c r="A72" s="235" t="s">
        <v>63</v>
      </c>
      <c r="B72" s="206" t="s">
        <v>64</v>
      </c>
      <c r="C72" s="206"/>
      <c r="D72" s="206"/>
      <c r="E72" s="206" t="s">
        <v>40</v>
      </c>
      <c r="F72" s="206"/>
      <c r="G72" s="206" t="s">
        <v>17</v>
      </c>
      <c r="H72" s="206"/>
    </row>
    <row r="73" spans="1:8" ht="80.099999999999994" customHeight="1">
      <c r="A73" s="235"/>
      <c r="B73" s="206"/>
      <c r="C73" s="206"/>
      <c r="D73" s="206"/>
      <c r="E73" s="206"/>
      <c r="F73" s="206"/>
      <c r="G73" s="206"/>
      <c r="H73" s="206"/>
    </row>
    <row r="74" spans="1:8" ht="80.099999999999994" customHeight="1">
      <c r="A74" s="238" t="s">
        <v>65</v>
      </c>
      <c r="B74" s="206" t="s">
        <v>66</v>
      </c>
      <c r="C74" s="206"/>
      <c r="D74" s="206"/>
      <c r="E74" s="206" t="s">
        <v>67</v>
      </c>
      <c r="F74" s="206"/>
      <c r="G74" s="206" t="s">
        <v>21</v>
      </c>
      <c r="H74" s="206"/>
    </row>
    <row r="75" spans="1:8" ht="80.099999999999994" customHeight="1">
      <c r="A75" s="238"/>
      <c r="B75" s="206"/>
      <c r="C75" s="206"/>
      <c r="D75" s="206"/>
      <c r="E75" s="206"/>
      <c r="F75" s="206"/>
      <c r="G75" s="206"/>
      <c r="H75" s="206"/>
    </row>
  </sheetData>
  <mergeCells count="43">
    <mergeCell ref="L2:M2"/>
    <mergeCell ref="N2:O2"/>
    <mergeCell ref="P2:Q2"/>
    <mergeCell ref="B59:D59"/>
    <mergeCell ref="E59:F59"/>
    <mergeCell ref="G59:H59"/>
    <mergeCell ref="B2:C2"/>
    <mergeCell ref="D2:E2"/>
    <mergeCell ref="F2:G2"/>
    <mergeCell ref="H2:I2"/>
    <mergeCell ref="J2:K2"/>
    <mergeCell ref="A60:A61"/>
    <mergeCell ref="A62:A63"/>
    <mergeCell ref="A64:A65"/>
    <mergeCell ref="A66:A67"/>
    <mergeCell ref="A68:A69"/>
    <mergeCell ref="A70:A71"/>
    <mergeCell ref="A72:A73"/>
    <mergeCell ref="A74:A75"/>
    <mergeCell ref="B74:D75"/>
    <mergeCell ref="E74:F75"/>
    <mergeCell ref="G74:H75"/>
    <mergeCell ref="B70:D71"/>
    <mergeCell ref="E70:F71"/>
    <mergeCell ref="G70:H71"/>
    <mergeCell ref="B72:D73"/>
    <mergeCell ref="E72:F73"/>
    <mergeCell ref="G72:H73"/>
    <mergeCell ref="E68:F69"/>
    <mergeCell ref="G68:H69"/>
    <mergeCell ref="B66:D67"/>
    <mergeCell ref="E66:F67"/>
    <mergeCell ref="G66:H67"/>
    <mergeCell ref="B68:D69"/>
    <mergeCell ref="B60:D61"/>
    <mergeCell ref="E60:F61"/>
    <mergeCell ref="G60:H61"/>
    <mergeCell ref="B64:D65"/>
    <mergeCell ref="E64:F65"/>
    <mergeCell ref="G64:H65"/>
    <mergeCell ref="B62:D63"/>
    <mergeCell ref="E62:F63"/>
    <mergeCell ref="G62:H63"/>
  </mergeCell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zoomScale="98" zoomScaleNormal="98" workbookViewId="0">
      <selection activeCell="I55" sqref="I55"/>
    </sheetView>
  </sheetViews>
  <sheetFormatPr baseColWidth="10" defaultColWidth="11" defaultRowHeight="13.5"/>
  <cols>
    <col min="1" max="1" width="25.5" customWidth="1"/>
    <col min="2" max="2" width="18.375" customWidth="1"/>
    <col min="3" max="3" width="16.5" customWidth="1"/>
    <col min="4" max="5" width="14.125" customWidth="1"/>
    <col min="6" max="6" width="15.625" customWidth="1"/>
    <col min="7" max="7" width="14.125" customWidth="1"/>
    <col min="8" max="8" width="18.625" customWidth="1"/>
    <col min="9" max="9" width="17.375" customWidth="1"/>
    <col min="10" max="10" width="18.625" customWidth="1"/>
    <col min="11" max="13" width="17.375" customWidth="1"/>
    <col min="14" max="15" width="15.375" customWidth="1"/>
  </cols>
  <sheetData>
    <row r="1" spans="1:15" ht="63.6" customHeight="1">
      <c r="A1" s="2" t="s">
        <v>68</v>
      </c>
    </row>
    <row r="2" spans="1:15" ht="16.5">
      <c r="A2" s="3"/>
      <c r="B2" s="228" t="s">
        <v>32</v>
      </c>
      <c r="C2" s="229"/>
      <c r="D2" s="230" t="s">
        <v>33</v>
      </c>
      <c r="E2" s="231"/>
      <c r="F2" s="180" t="s">
        <v>1</v>
      </c>
      <c r="G2" s="181"/>
      <c r="H2" s="232" t="s">
        <v>34</v>
      </c>
      <c r="I2" s="233"/>
      <c r="J2" s="182" t="s">
        <v>2</v>
      </c>
      <c r="K2" s="183"/>
      <c r="L2" s="247" t="s">
        <v>56</v>
      </c>
      <c r="M2" s="248"/>
      <c r="N2" s="241" t="s">
        <v>57</v>
      </c>
      <c r="O2" s="242"/>
    </row>
    <row r="3" spans="1:15">
      <c r="A3" s="4"/>
      <c r="B3" s="5" t="s">
        <v>6</v>
      </c>
      <c r="C3" s="6" t="s">
        <v>7</v>
      </c>
      <c r="D3" s="5" t="s">
        <v>6</v>
      </c>
      <c r="E3" s="6" t="s">
        <v>7</v>
      </c>
      <c r="F3" s="5" t="s">
        <v>6</v>
      </c>
      <c r="G3" s="6" t="s">
        <v>7</v>
      </c>
      <c r="H3" s="36" t="s">
        <v>6</v>
      </c>
      <c r="I3" s="39" t="s">
        <v>7</v>
      </c>
      <c r="J3" s="5" t="s">
        <v>6</v>
      </c>
      <c r="K3" s="6" t="s">
        <v>7</v>
      </c>
      <c r="L3" s="36" t="s">
        <v>6</v>
      </c>
      <c r="M3" s="6" t="s">
        <v>7</v>
      </c>
      <c r="N3" s="36" t="s">
        <v>6</v>
      </c>
      <c r="O3" s="6" t="s">
        <v>7</v>
      </c>
    </row>
    <row r="4" spans="1:15" ht="15">
      <c r="A4" s="7">
        <v>43831</v>
      </c>
      <c r="B4" s="102"/>
      <c r="C4" s="61"/>
      <c r="D4" s="102"/>
      <c r="E4" s="61"/>
      <c r="F4" s="102"/>
      <c r="G4" s="61"/>
      <c r="H4" s="107"/>
      <c r="I4" s="108"/>
      <c r="J4" s="102"/>
      <c r="K4" s="61"/>
      <c r="L4" s="102"/>
      <c r="M4" s="61"/>
      <c r="N4" s="107"/>
      <c r="O4" s="61"/>
    </row>
    <row r="5" spans="1:15">
      <c r="A5" s="13">
        <v>43847</v>
      </c>
      <c r="B5" s="103"/>
      <c r="C5" s="19"/>
      <c r="D5" s="103"/>
      <c r="E5" s="19"/>
      <c r="F5" s="103"/>
      <c r="G5" s="19"/>
      <c r="H5" s="109"/>
      <c r="I5" s="65"/>
      <c r="J5" s="103"/>
      <c r="K5" s="19"/>
      <c r="L5" s="103">
        <v>20000</v>
      </c>
      <c r="M5" s="19">
        <v>61317.177000000003</v>
      </c>
      <c r="N5" s="109"/>
      <c r="O5" s="19"/>
    </row>
    <row r="6" spans="1:15">
      <c r="A6" s="13">
        <v>43852</v>
      </c>
      <c r="B6" s="103"/>
      <c r="C6" s="19"/>
      <c r="D6" s="103"/>
      <c r="E6" s="19"/>
      <c r="F6" s="103"/>
      <c r="G6" s="19"/>
      <c r="H6" s="109"/>
      <c r="I6" s="65"/>
      <c r="J6" s="103"/>
      <c r="K6" s="19">
        <v>4250</v>
      </c>
      <c r="L6" s="103"/>
      <c r="M6" s="19"/>
      <c r="N6" s="109"/>
      <c r="O6" s="19"/>
    </row>
    <row r="7" spans="1:15">
      <c r="A7" s="13">
        <v>43859</v>
      </c>
      <c r="B7" s="110"/>
      <c r="C7" s="88"/>
      <c r="D7" s="110"/>
      <c r="E7" s="88"/>
      <c r="F7" s="110"/>
      <c r="G7" s="88"/>
      <c r="H7" s="111"/>
      <c r="I7" s="112"/>
      <c r="J7" s="110"/>
      <c r="K7" s="88"/>
      <c r="L7" s="113">
        <v>30000</v>
      </c>
      <c r="M7" s="114">
        <v>91645.176999999996</v>
      </c>
      <c r="N7" s="111"/>
      <c r="O7" s="88"/>
    </row>
    <row r="8" spans="1:15" ht="15">
      <c r="A8" s="7">
        <v>43862</v>
      </c>
      <c r="B8" s="102"/>
      <c r="C8" s="61"/>
      <c r="D8" s="102"/>
      <c r="E8" s="61"/>
      <c r="F8" s="102"/>
      <c r="G8" s="61"/>
      <c r="H8" s="107"/>
      <c r="I8" s="108"/>
      <c r="J8" s="102"/>
      <c r="K8" s="61"/>
      <c r="L8" s="102"/>
      <c r="M8" s="61"/>
      <c r="N8" s="107"/>
      <c r="O8" s="61"/>
    </row>
    <row r="9" spans="1:15">
      <c r="A9" s="13">
        <v>43886</v>
      </c>
      <c r="B9" s="103"/>
      <c r="C9" s="19"/>
      <c r="D9" s="103"/>
      <c r="E9" s="19"/>
      <c r="F9" s="103"/>
      <c r="G9" s="19"/>
      <c r="H9" s="109"/>
      <c r="I9" s="42"/>
      <c r="J9" s="103"/>
      <c r="K9" s="14">
        <f>SUM(1238.39*6+928.792)</f>
        <v>8359.1319999999996</v>
      </c>
      <c r="L9" s="103"/>
      <c r="M9" s="14"/>
      <c r="N9" s="109"/>
      <c r="O9" s="19"/>
    </row>
    <row r="10" spans="1:15" ht="15">
      <c r="A10" s="7">
        <v>43891</v>
      </c>
      <c r="B10" s="102"/>
      <c r="C10" s="61"/>
      <c r="D10" s="102"/>
      <c r="E10" s="61"/>
      <c r="F10" s="102"/>
      <c r="G10" s="61"/>
      <c r="H10" s="107"/>
      <c r="I10" s="108"/>
      <c r="J10" s="102"/>
      <c r="K10" s="61"/>
      <c r="L10" s="102"/>
      <c r="M10" s="61"/>
      <c r="N10" s="107"/>
      <c r="O10" s="61"/>
    </row>
    <row r="11" spans="1:15">
      <c r="A11" s="13">
        <v>43893</v>
      </c>
      <c r="B11" s="103"/>
      <c r="C11" s="19"/>
      <c r="D11" s="103"/>
      <c r="E11" s="19"/>
      <c r="F11" s="103"/>
      <c r="G11" s="19"/>
      <c r="H11" s="109"/>
      <c r="I11" s="65"/>
      <c r="J11" s="103"/>
      <c r="K11" s="19"/>
      <c r="L11" s="103">
        <v>30000</v>
      </c>
      <c r="M11" s="19">
        <v>91681.176999999996</v>
      </c>
      <c r="N11" s="109"/>
      <c r="O11" s="19"/>
    </row>
    <row r="12" spans="1:15">
      <c r="A12" s="13">
        <v>43901</v>
      </c>
      <c r="B12" s="103"/>
      <c r="C12" s="19"/>
      <c r="D12" s="103"/>
      <c r="E12" s="19"/>
      <c r="F12" s="103"/>
      <c r="G12" s="19"/>
      <c r="H12" s="109"/>
      <c r="I12" s="65"/>
      <c r="J12" s="103"/>
      <c r="K12" s="19">
        <v>12363.273999999999</v>
      </c>
      <c r="L12" s="103"/>
      <c r="M12" s="19"/>
      <c r="N12" s="109"/>
      <c r="O12" s="19"/>
    </row>
    <row r="13" spans="1:15">
      <c r="A13" s="13">
        <v>43906</v>
      </c>
      <c r="B13" s="110"/>
      <c r="C13" s="88"/>
      <c r="D13" s="101">
        <f>SUM(E13/3.2)</f>
        <v>3117.1196874999996</v>
      </c>
      <c r="E13" s="88">
        <v>9974.7829999999994</v>
      </c>
      <c r="F13" s="110"/>
      <c r="G13" s="88"/>
      <c r="H13" s="111"/>
      <c r="I13" s="112"/>
      <c r="J13" s="110"/>
      <c r="K13" s="88"/>
      <c r="L13" s="110"/>
      <c r="M13" s="88"/>
      <c r="N13" s="111"/>
      <c r="O13" s="88"/>
    </row>
    <row r="14" spans="1:15" ht="15">
      <c r="A14" s="7">
        <v>43922</v>
      </c>
      <c r="B14" s="102"/>
      <c r="C14" s="61"/>
      <c r="D14" s="102"/>
      <c r="E14" s="61"/>
      <c r="F14" s="102"/>
      <c r="G14" s="61"/>
      <c r="H14" s="107"/>
      <c r="I14" s="108"/>
      <c r="J14" s="102"/>
      <c r="K14" s="61"/>
      <c r="L14" s="102"/>
      <c r="M14" s="61"/>
      <c r="N14" s="107"/>
      <c r="O14" s="61"/>
    </row>
    <row r="15" spans="1:15" s="1" customFormat="1">
      <c r="A15" s="13">
        <v>43927</v>
      </c>
      <c r="B15" s="105"/>
      <c r="C15" s="62"/>
      <c r="D15" s="105"/>
      <c r="E15" s="62"/>
      <c r="F15" s="105"/>
      <c r="G15" s="62"/>
      <c r="H15" s="89"/>
      <c r="I15" s="115"/>
      <c r="J15" s="105"/>
      <c r="K15" s="62">
        <f>SUM(2000+1964)</f>
        <v>3964</v>
      </c>
      <c r="L15" s="105"/>
      <c r="M15" s="62"/>
      <c r="N15" s="89"/>
      <c r="O15" s="62"/>
    </row>
    <row r="16" spans="1:15" s="1" customFormat="1">
      <c r="A16" s="13">
        <v>43938</v>
      </c>
      <c r="B16" s="105"/>
      <c r="C16" s="62"/>
      <c r="D16" s="105"/>
      <c r="E16" s="62"/>
      <c r="F16" s="105"/>
      <c r="G16" s="62"/>
      <c r="H16" s="89"/>
      <c r="I16" s="115"/>
      <c r="J16" s="105"/>
      <c r="K16" s="62">
        <f>SUM(216.718+619.195)</f>
        <v>835.91300000000001</v>
      </c>
      <c r="L16" s="105"/>
      <c r="M16" s="62"/>
      <c r="N16" s="89"/>
      <c r="O16" s="62"/>
    </row>
    <row r="17" spans="1:15">
      <c r="A17" s="13">
        <v>43941</v>
      </c>
      <c r="B17" s="103"/>
      <c r="C17" s="19"/>
      <c r="D17" s="103"/>
      <c r="E17" s="19"/>
      <c r="F17" s="103"/>
      <c r="G17" s="19"/>
      <c r="H17" s="109"/>
      <c r="I17" s="65"/>
      <c r="J17" s="103"/>
      <c r="K17" s="19"/>
      <c r="L17" s="103">
        <v>20000</v>
      </c>
      <c r="M17" s="19">
        <v>61692.368000000002</v>
      </c>
      <c r="N17" s="109"/>
      <c r="O17" s="19"/>
    </row>
    <row r="18" spans="1:15" ht="15">
      <c r="A18" s="7">
        <v>43952</v>
      </c>
      <c r="B18" s="102"/>
      <c r="C18" s="61"/>
      <c r="D18" s="102"/>
      <c r="E18" s="61"/>
      <c r="F18" s="102"/>
      <c r="G18" s="61"/>
      <c r="H18" s="107"/>
      <c r="I18" s="108"/>
      <c r="J18" s="102"/>
      <c r="K18" s="61"/>
      <c r="L18" s="102"/>
      <c r="M18" s="61"/>
      <c r="N18" s="107"/>
      <c r="O18" s="61"/>
    </row>
    <row r="19" spans="1:15" s="1" customFormat="1">
      <c r="A19" s="13">
        <v>43957</v>
      </c>
      <c r="B19" s="105"/>
      <c r="C19" s="62"/>
      <c r="D19" s="105"/>
      <c r="E19" s="62"/>
      <c r="F19" s="105"/>
      <c r="G19" s="62"/>
      <c r="H19" s="89"/>
      <c r="I19" s="116"/>
      <c r="J19" s="105"/>
      <c r="K19" s="117">
        <f>SUM(1238.39*7)</f>
        <v>8668.7300000000014</v>
      </c>
      <c r="L19" s="105"/>
      <c r="M19" s="117"/>
      <c r="N19" s="89"/>
      <c r="O19" s="62"/>
    </row>
    <row r="20" spans="1:15">
      <c r="A20" s="13">
        <v>43979</v>
      </c>
      <c r="B20" s="103"/>
      <c r="C20" s="19"/>
      <c r="D20" s="103"/>
      <c r="E20" s="19"/>
      <c r="F20" s="103"/>
      <c r="G20" s="19"/>
      <c r="H20" s="109"/>
      <c r="I20" s="118"/>
      <c r="J20" s="103"/>
      <c r="K20" s="104"/>
      <c r="L20" s="103">
        <v>20000</v>
      </c>
      <c r="M20" s="104">
        <v>61830.091999999997</v>
      </c>
      <c r="N20" s="109"/>
      <c r="O20" s="19"/>
    </row>
    <row r="21" spans="1:15">
      <c r="A21" s="13">
        <v>44054</v>
      </c>
      <c r="B21" s="103"/>
      <c r="C21" s="19"/>
      <c r="D21" s="103"/>
      <c r="E21" s="19"/>
      <c r="F21" s="103"/>
      <c r="G21" s="19"/>
      <c r="H21" s="109"/>
      <c r="I21" s="118"/>
      <c r="J21" s="103"/>
      <c r="K21" s="104"/>
      <c r="L21" s="103">
        <v>20000</v>
      </c>
      <c r="M21" s="104">
        <v>63061.177000000003</v>
      </c>
      <c r="N21" s="109"/>
      <c r="O21" s="19"/>
    </row>
    <row r="22" spans="1:15" ht="15">
      <c r="A22" s="7">
        <v>43983</v>
      </c>
      <c r="B22" s="102"/>
      <c r="C22" s="61"/>
      <c r="D22" s="102"/>
      <c r="E22" s="61"/>
      <c r="F22" s="102"/>
      <c r="G22" s="61"/>
      <c r="H22" s="107"/>
      <c r="I22" s="108"/>
      <c r="J22" s="102"/>
      <c r="K22" s="61"/>
      <c r="L22" s="102"/>
      <c r="M22" s="61"/>
      <c r="N22" s="107"/>
      <c r="O22" s="61"/>
    </row>
    <row r="23" spans="1:15">
      <c r="A23" s="13">
        <v>43984</v>
      </c>
      <c r="B23" s="103"/>
      <c r="C23" s="19"/>
      <c r="D23" s="103"/>
      <c r="E23" s="19"/>
      <c r="F23" s="103"/>
      <c r="G23" s="19"/>
      <c r="H23" s="109"/>
      <c r="I23" s="65"/>
      <c r="J23" s="103"/>
      <c r="K23" s="19">
        <f>SUM(12480*4+12471.004+12468.134+12418.488+12400*2)</f>
        <v>112077.626</v>
      </c>
      <c r="L23" s="103"/>
      <c r="M23" s="19"/>
      <c r="N23" s="109"/>
      <c r="O23" s="19"/>
    </row>
    <row r="24" spans="1:15">
      <c r="A24" s="13">
        <v>44004</v>
      </c>
      <c r="B24" s="103"/>
      <c r="C24" s="19"/>
      <c r="D24" s="103"/>
      <c r="E24" s="19"/>
      <c r="F24" s="103"/>
      <c r="G24" s="19"/>
      <c r="H24" s="109"/>
      <c r="I24" s="65"/>
      <c r="J24" s="103"/>
      <c r="K24" s="19"/>
      <c r="L24" s="103"/>
      <c r="M24" s="19"/>
      <c r="N24" s="119">
        <f>SUM(O24/3.2)</f>
        <v>7357.6581249999999</v>
      </c>
      <c r="O24" s="19">
        <v>23544.506000000001</v>
      </c>
    </row>
    <row r="25" spans="1:15" ht="15">
      <c r="A25" s="7">
        <v>44013</v>
      </c>
      <c r="B25" s="102"/>
      <c r="C25" s="61"/>
      <c r="D25" s="102"/>
      <c r="E25" s="61"/>
      <c r="F25" s="102"/>
      <c r="G25" s="61"/>
      <c r="H25" s="107"/>
      <c r="I25" s="108"/>
      <c r="J25" s="102"/>
      <c r="K25" s="61"/>
      <c r="L25" s="102"/>
      <c r="M25" s="61"/>
      <c r="N25" s="107"/>
      <c r="O25" s="61"/>
    </row>
    <row r="26" spans="1:15" s="1" customFormat="1">
      <c r="A26" s="13">
        <v>44019</v>
      </c>
      <c r="B26" s="105"/>
      <c r="C26" s="62"/>
      <c r="D26" s="105"/>
      <c r="E26" s="62"/>
      <c r="F26" s="105"/>
      <c r="G26" s="62"/>
      <c r="H26" s="89"/>
      <c r="I26" s="115"/>
      <c r="J26" s="105"/>
      <c r="K26" s="62">
        <v>3863.5039999999999</v>
      </c>
      <c r="L26" s="105"/>
      <c r="M26" s="62"/>
      <c r="N26" s="89"/>
      <c r="O26" s="62"/>
    </row>
    <row r="27" spans="1:15">
      <c r="A27" s="13">
        <v>44022</v>
      </c>
      <c r="B27" s="103"/>
      <c r="C27" s="19"/>
      <c r="D27" s="103"/>
      <c r="E27" s="19"/>
      <c r="F27" s="103"/>
      <c r="G27" s="19"/>
      <c r="H27" s="109"/>
      <c r="I27" s="65"/>
      <c r="J27" s="103"/>
      <c r="K27" s="19"/>
      <c r="L27" s="103">
        <v>200000</v>
      </c>
      <c r="M27" s="19">
        <v>62699.177000000003</v>
      </c>
      <c r="N27" s="109"/>
      <c r="O27" s="19"/>
    </row>
    <row r="28" spans="1:15">
      <c r="A28" s="13">
        <v>44041</v>
      </c>
      <c r="B28" s="103"/>
      <c r="C28" s="19"/>
      <c r="D28" s="103"/>
      <c r="E28" s="19"/>
      <c r="F28" s="103"/>
      <c r="G28" s="19"/>
      <c r="H28" s="109"/>
      <c r="I28" s="65"/>
      <c r="J28" s="103"/>
      <c r="K28" s="19">
        <f>SUM(127.388+445.86+1273.885*8+3000*8+5250+6000+1273.885)</f>
        <v>47288.213000000003</v>
      </c>
      <c r="L28" s="103"/>
      <c r="M28" s="19"/>
      <c r="N28" s="109"/>
      <c r="O28" s="19"/>
    </row>
    <row r="29" spans="1:15" ht="15">
      <c r="A29" s="7">
        <v>44044</v>
      </c>
      <c r="B29" s="102"/>
      <c r="C29" s="61"/>
      <c r="D29" s="102"/>
      <c r="E29" s="61"/>
      <c r="F29" s="102"/>
      <c r="G29" s="61"/>
      <c r="H29" s="107"/>
      <c r="I29" s="108"/>
      <c r="J29" s="102"/>
      <c r="K29" s="61"/>
      <c r="L29" s="102"/>
      <c r="M29" s="61"/>
      <c r="N29" s="107"/>
      <c r="O29" s="61"/>
    </row>
    <row r="30" spans="1:15">
      <c r="A30" s="13">
        <v>44054</v>
      </c>
      <c r="B30" s="103"/>
      <c r="C30" s="19"/>
      <c r="D30" s="103"/>
      <c r="E30" s="19"/>
      <c r="F30" s="103"/>
      <c r="G30" s="19"/>
      <c r="H30" s="109"/>
      <c r="I30" s="65"/>
      <c r="J30" s="103"/>
      <c r="K30" s="19"/>
      <c r="L30" s="103"/>
      <c r="M30" s="19"/>
      <c r="N30" s="119">
        <f>SUM(O30/3.2)</f>
        <v>4917.3990624999997</v>
      </c>
      <c r="O30" s="14">
        <v>15735.677</v>
      </c>
    </row>
    <row r="31" spans="1:15" ht="15">
      <c r="A31" s="7">
        <v>44075</v>
      </c>
      <c r="B31" s="102"/>
      <c r="C31" s="61"/>
      <c r="D31" s="102"/>
      <c r="E31" s="61"/>
      <c r="F31" s="102"/>
      <c r="G31" s="61"/>
      <c r="H31" s="107"/>
      <c r="I31" s="108"/>
      <c r="J31" s="102"/>
      <c r="K31" s="61"/>
      <c r="L31" s="102"/>
      <c r="M31" s="61"/>
      <c r="N31" s="107"/>
      <c r="O31" s="61"/>
    </row>
    <row r="32" spans="1:15">
      <c r="A32" s="13">
        <v>44075</v>
      </c>
      <c r="B32" s="105"/>
      <c r="C32" s="62"/>
      <c r="D32" s="105"/>
      <c r="E32" s="62"/>
      <c r="F32" s="105"/>
      <c r="G32" s="62"/>
      <c r="H32" s="89"/>
      <c r="I32" s="115"/>
      <c r="J32" s="105"/>
      <c r="K32" s="62">
        <f>SUM(12480*4)</f>
        <v>49920</v>
      </c>
      <c r="L32" s="105"/>
      <c r="M32" s="62"/>
      <c r="N32" s="89"/>
      <c r="O32" s="62"/>
    </row>
    <row r="33" spans="1:15" hidden="1">
      <c r="A33" s="13"/>
      <c r="B33" s="103"/>
      <c r="C33" s="19"/>
      <c r="D33" s="103"/>
      <c r="E33" s="19"/>
      <c r="F33" s="103"/>
      <c r="G33" s="19"/>
      <c r="H33" s="109"/>
      <c r="I33" s="65"/>
      <c r="J33" s="103"/>
      <c r="K33" s="19"/>
      <c r="L33" s="103"/>
      <c r="M33" s="19"/>
      <c r="N33" s="109"/>
      <c r="O33" s="19"/>
    </row>
    <row r="34" spans="1:15" ht="15">
      <c r="A34" s="7">
        <v>44105</v>
      </c>
      <c r="B34" s="102"/>
      <c r="C34" s="61"/>
      <c r="D34" s="102"/>
      <c r="E34" s="61"/>
      <c r="F34" s="102"/>
      <c r="G34" s="61"/>
      <c r="H34" s="107"/>
      <c r="I34" s="108"/>
      <c r="J34" s="102"/>
      <c r="K34" s="61"/>
      <c r="L34" s="102"/>
      <c r="M34" s="61"/>
      <c r="N34" s="107"/>
      <c r="O34" s="61"/>
    </row>
    <row r="35" spans="1:15" s="1" customFormat="1">
      <c r="A35" s="13">
        <v>44113</v>
      </c>
      <c r="B35" s="105"/>
      <c r="C35" s="62"/>
      <c r="D35" s="105"/>
      <c r="E35" s="62"/>
      <c r="F35" s="105"/>
      <c r="G35" s="62"/>
      <c r="H35" s="89"/>
      <c r="I35" s="115"/>
      <c r="J35" s="105"/>
      <c r="K35" s="62">
        <f>SUM(1302.931*6+4155.444+900+977.198*2+1150)</f>
        <v>15977.426000000001</v>
      </c>
      <c r="L35" s="105"/>
      <c r="M35" s="62"/>
      <c r="N35" s="89"/>
      <c r="O35" s="62"/>
    </row>
    <row r="36" spans="1:15" s="1" customFormat="1">
      <c r="A36" s="13">
        <v>44124</v>
      </c>
      <c r="B36" s="105"/>
      <c r="C36" s="62"/>
      <c r="D36" s="101">
        <f>SUM(E36/3.2)</f>
        <v>3966.8184374999996</v>
      </c>
      <c r="E36" s="62">
        <v>12693.819</v>
      </c>
      <c r="F36" s="105"/>
      <c r="G36" s="62"/>
      <c r="H36" s="89"/>
      <c r="I36" s="115"/>
      <c r="J36" s="105"/>
      <c r="K36" s="62"/>
      <c r="L36" s="105"/>
      <c r="M36" s="62"/>
      <c r="N36" s="89"/>
      <c r="O36" s="62"/>
    </row>
    <row r="37" spans="1:15">
      <c r="A37" s="13">
        <v>44127</v>
      </c>
      <c r="B37" s="103"/>
      <c r="C37" s="19"/>
      <c r="D37" s="103"/>
      <c r="E37" s="19"/>
      <c r="F37" s="103"/>
      <c r="G37" s="19"/>
      <c r="H37" s="109"/>
      <c r="I37" s="42"/>
      <c r="J37" s="103"/>
      <c r="K37" s="14"/>
      <c r="L37" s="101">
        <f>SUM(M37/3.2)</f>
        <v>15754.867812499999</v>
      </c>
      <c r="M37" s="14">
        <v>50415.576999999997</v>
      </c>
      <c r="N37" s="109"/>
      <c r="O37" s="19"/>
    </row>
    <row r="38" spans="1:15">
      <c r="A38" s="13">
        <v>44134</v>
      </c>
      <c r="B38" s="103"/>
      <c r="C38" s="19"/>
      <c r="D38" s="103"/>
      <c r="E38" s="19"/>
      <c r="F38" s="103"/>
      <c r="G38" s="19"/>
      <c r="H38" s="109"/>
      <c r="I38" s="65"/>
      <c r="J38" s="103"/>
      <c r="K38" s="19">
        <f>SUM(1302.931+3112.792+3081.209+3044.544+1628.665*6+12480*2+5250+3126.8+3120.52+3120)</f>
        <v>59890.786</v>
      </c>
      <c r="L38" s="103"/>
      <c r="M38" s="19"/>
      <c r="N38" s="109"/>
      <c r="O38" s="19"/>
    </row>
    <row r="39" spans="1:15" ht="15">
      <c r="A39" s="7">
        <v>44136</v>
      </c>
      <c r="B39" s="102"/>
      <c r="C39" s="61"/>
      <c r="D39" s="102"/>
      <c r="E39" s="61"/>
      <c r="F39" s="102"/>
      <c r="G39" s="61"/>
      <c r="H39" s="107"/>
      <c r="I39" s="108"/>
      <c r="J39" s="102"/>
      <c r="K39" s="61"/>
      <c r="L39" s="102"/>
      <c r="M39" s="61"/>
      <c r="N39" s="107"/>
      <c r="O39" s="61"/>
    </row>
    <row r="40" spans="1:15" s="1" customFormat="1">
      <c r="A40" s="13">
        <v>44160</v>
      </c>
      <c r="B40" s="105"/>
      <c r="C40" s="62"/>
      <c r="D40" s="105"/>
      <c r="E40" s="62"/>
      <c r="F40" s="105"/>
      <c r="G40" s="62"/>
      <c r="H40" s="89"/>
      <c r="I40" s="115"/>
      <c r="J40" s="105"/>
      <c r="K40" s="62">
        <v>1302.931</v>
      </c>
      <c r="L40" s="105"/>
      <c r="M40" s="62"/>
      <c r="N40" s="89"/>
      <c r="O40" s="62"/>
    </row>
    <row r="41" spans="1:15">
      <c r="A41" s="13">
        <v>44165</v>
      </c>
      <c r="B41" s="103"/>
      <c r="C41" s="19"/>
      <c r="D41" s="103"/>
      <c r="E41" s="19"/>
      <c r="F41" s="103"/>
      <c r="G41" s="19"/>
      <c r="H41" s="109">
        <v>5000</v>
      </c>
      <c r="I41" s="42">
        <v>15846.177</v>
      </c>
      <c r="J41" s="103"/>
      <c r="K41" s="19"/>
      <c r="L41" s="103"/>
      <c r="M41" s="19"/>
      <c r="N41" s="119">
        <f>SUM(O41/3.2)</f>
        <v>4953.3365624999997</v>
      </c>
      <c r="O41" s="19">
        <v>15850.677</v>
      </c>
    </row>
    <row r="42" spans="1:15" ht="15">
      <c r="A42" s="7">
        <v>44166</v>
      </c>
      <c r="B42" s="102"/>
      <c r="C42" s="61"/>
      <c r="D42" s="102"/>
      <c r="E42" s="61"/>
      <c r="F42" s="102"/>
      <c r="G42" s="61"/>
      <c r="H42" s="107"/>
      <c r="I42" s="108"/>
      <c r="J42" s="102"/>
      <c r="K42" s="61"/>
      <c r="L42" s="102"/>
      <c r="M42" s="61"/>
      <c r="N42" s="107"/>
      <c r="O42" s="61"/>
    </row>
    <row r="43" spans="1:15" s="1" customFormat="1">
      <c r="A43" s="13">
        <v>44172</v>
      </c>
      <c r="B43" s="105"/>
      <c r="C43" s="62"/>
      <c r="D43" s="105"/>
      <c r="E43" s="62"/>
      <c r="F43" s="105"/>
      <c r="G43" s="62"/>
      <c r="H43" s="89"/>
      <c r="I43" s="115"/>
      <c r="J43" s="105"/>
      <c r="K43" s="62">
        <v>12480</v>
      </c>
      <c r="L43" s="105"/>
      <c r="M43" s="62"/>
      <c r="N43" s="89"/>
      <c r="O43" s="62"/>
    </row>
    <row r="44" spans="1:15" s="1" customFormat="1">
      <c r="A44" s="13">
        <v>44173</v>
      </c>
      <c r="B44" s="105"/>
      <c r="C44" s="62"/>
      <c r="D44" s="105"/>
      <c r="E44" s="62"/>
      <c r="F44" s="105"/>
      <c r="G44" s="62"/>
      <c r="H44" s="89"/>
      <c r="I44" s="115"/>
      <c r="J44" s="105"/>
      <c r="K44" s="62"/>
      <c r="L44" s="105">
        <v>10000</v>
      </c>
      <c r="M44" s="62">
        <v>31881.677</v>
      </c>
      <c r="N44" s="89"/>
      <c r="O44" s="62"/>
    </row>
    <row r="45" spans="1:15">
      <c r="A45" s="13">
        <v>44176</v>
      </c>
      <c r="B45" s="103"/>
      <c r="C45" s="19"/>
      <c r="D45" s="103"/>
      <c r="E45" s="19"/>
      <c r="F45" s="103"/>
      <c r="G45" s="19"/>
      <c r="H45" s="119">
        <f>SUM(I45/3.2)</f>
        <v>10008.3553125</v>
      </c>
      <c r="I45" s="65">
        <v>32026.737000000001</v>
      </c>
      <c r="J45" s="103"/>
      <c r="K45" s="19"/>
      <c r="L45" s="103"/>
      <c r="M45" s="19"/>
      <c r="N45" s="109"/>
      <c r="O45" s="19"/>
    </row>
    <row r="46" spans="1:15">
      <c r="A46" s="13">
        <v>44181</v>
      </c>
      <c r="B46" s="103"/>
      <c r="C46" s="19"/>
      <c r="D46" s="103"/>
      <c r="E46" s="19"/>
      <c r="F46" s="103"/>
      <c r="G46" s="19"/>
      <c r="H46" s="109"/>
      <c r="I46" s="65"/>
      <c r="J46" s="103"/>
      <c r="K46" s="19"/>
      <c r="L46" s="103"/>
      <c r="M46" s="19"/>
      <c r="N46" s="109">
        <v>17000</v>
      </c>
      <c r="O46" s="19">
        <v>54305.377</v>
      </c>
    </row>
    <row r="47" spans="1:15">
      <c r="A47" s="13">
        <v>44182</v>
      </c>
      <c r="B47" s="103"/>
      <c r="C47" s="19"/>
      <c r="D47" s="103"/>
      <c r="E47" s="19"/>
      <c r="F47" s="103"/>
      <c r="G47" s="19"/>
      <c r="H47" s="109"/>
      <c r="I47" s="65"/>
      <c r="J47" s="103"/>
      <c r="K47" s="19">
        <f>SUM(130.293*8+325.733)</f>
        <v>1368.077</v>
      </c>
      <c r="L47" s="103"/>
      <c r="M47" s="19"/>
      <c r="N47" s="109"/>
      <c r="O47" s="19"/>
    </row>
    <row r="48" spans="1:15">
      <c r="A48" s="13">
        <v>44196</v>
      </c>
      <c r="B48" s="103"/>
      <c r="C48" s="19"/>
      <c r="D48" s="103"/>
      <c r="E48" s="19"/>
      <c r="F48" s="103"/>
      <c r="G48" s="19"/>
      <c r="H48" s="109"/>
      <c r="I48" s="65"/>
      <c r="J48" s="103"/>
      <c r="K48" s="19">
        <f>SUM(3088.153+1628.665)</f>
        <v>4716.8179999999993</v>
      </c>
      <c r="L48" s="103"/>
      <c r="M48" s="19"/>
      <c r="N48" s="109"/>
      <c r="O48" s="19"/>
    </row>
    <row r="49" spans="1:15" ht="15">
      <c r="A49" s="20" t="s">
        <v>8</v>
      </c>
      <c r="B49" s="21">
        <f t="shared" ref="B49:J49" si="0">SUM(B4:B46)</f>
        <v>0</v>
      </c>
      <c r="C49" s="22">
        <f t="shared" si="0"/>
        <v>0</v>
      </c>
      <c r="D49" s="21">
        <f t="shared" si="0"/>
        <v>7083.9381249999988</v>
      </c>
      <c r="E49" s="22">
        <f t="shared" si="0"/>
        <v>22668.601999999999</v>
      </c>
      <c r="F49" s="21">
        <f t="shared" si="0"/>
        <v>0</v>
      </c>
      <c r="G49" s="22">
        <f t="shared" si="0"/>
        <v>0</v>
      </c>
      <c r="H49" s="38">
        <f t="shared" si="0"/>
        <v>15008.3553125</v>
      </c>
      <c r="I49" s="43">
        <f t="shared" si="0"/>
        <v>47872.914000000004</v>
      </c>
      <c r="J49" s="21">
        <f t="shared" si="0"/>
        <v>0</v>
      </c>
      <c r="K49" s="22">
        <f>SUM(K5:K48)</f>
        <v>347326.42999999993</v>
      </c>
      <c r="L49" s="21">
        <f>SUM(L4:L46)</f>
        <v>365754.86781249999</v>
      </c>
      <c r="M49" s="22">
        <f>SUM(M4:M46)</f>
        <v>576223.59900000005</v>
      </c>
      <c r="N49" s="38">
        <f>SUM(N4:N46)</f>
        <v>34228.393750000003</v>
      </c>
      <c r="O49" s="22">
        <f>SUM(O4:O46)</f>
        <v>109436.23699999999</v>
      </c>
    </row>
    <row r="50" spans="1:15" s="1" customFormat="1" ht="15">
      <c r="A50" s="23"/>
      <c r="B50" s="30"/>
      <c r="C50" s="30"/>
      <c r="D50" s="24"/>
      <c r="E50" s="24"/>
      <c r="F50" s="24"/>
      <c r="G50" s="24"/>
      <c r="H50" s="24"/>
      <c r="I50" s="24"/>
      <c r="J50" s="24"/>
      <c r="K50" s="24"/>
      <c r="L50" s="24"/>
      <c r="M50" s="24"/>
      <c r="N50" s="24"/>
      <c r="O50" s="24"/>
    </row>
    <row r="51" spans="1:15" ht="15">
      <c r="A51" s="25" t="s">
        <v>9</v>
      </c>
      <c r="B51" s="32">
        <f>B49+D49+F49+H49+J49+L49+N49</f>
        <v>422075.55499999999</v>
      </c>
      <c r="C51" s="32">
        <f>C49+E49+G49+I49+K49+M49+O49</f>
        <v>1103527.7819999999</v>
      </c>
      <c r="D51" s="35"/>
      <c r="E51" s="35"/>
      <c r="F51" s="35"/>
      <c r="G51" s="34"/>
      <c r="H51" s="35"/>
      <c r="I51" s="35"/>
      <c r="J51" s="35"/>
      <c r="K51" s="35"/>
      <c r="L51" s="35"/>
      <c r="M51" s="35"/>
      <c r="N51" s="35"/>
      <c r="O51" s="35"/>
    </row>
    <row r="52" spans="1:15">
      <c r="F52" s="1"/>
      <c r="G52" s="1"/>
    </row>
    <row r="53" spans="1:15" ht="15">
      <c r="A53" s="28" t="s">
        <v>10</v>
      </c>
      <c r="B53" s="245" t="s">
        <v>11</v>
      </c>
      <c r="C53" s="245"/>
      <c r="D53" s="245"/>
      <c r="E53" s="245" t="s">
        <v>36</v>
      </c>
      <c r="F53" s="245"/>
      <c r="G53" s="245" t="s">
        <v>37</v>
      </c>
      <c r="H53" s="245"/>
    </row>
    <row r="54" spans="1:15" ht="80.099999999999994" customHeight="1">
      <c r="A54" s="236" t="s">
        <v>38</v>
      </c>
      <c r="B54" s="206" t="s">
        <v>39</v>
      </c>
      <c r="C54" s="206"/>
      <c r="D54" s="206"/>
      <c r="E54" s="206" t="s">
        <v>40</v>
      </c>
      <c r="F54" s="206"/>
      <c r="G54" s="206" t="s">
        <v>17</v>
      </c>
      <c r="H54" s="206"/>
    </row>
    <row r="55" spans="1:15" ht="80.099999999999994" customHeight="1">
      <c r="A55" s="236"/>
      <c r="B55" s="206"/>
      <c r="C55" s="206"/>
      <c r="D55" s="206"/>
      <c r="E55" s="206"/>
      <c r="F55" s="206"/>
      <c r="G55" s="206"/>
      <c r="H55" s="206"/>
    </row>
    <row r="56" spans="1:15" ht="80.099999999999994" customHeight="1">
      <c r="A56" s="237" t="s">
        <v>41</v>
      </c>
      <c r="B56" s="206" t="s">
        <v>42</v>
      </c>
      <c r="C56" s="206"/>
      <c r="D56" s="206"/>
      <c r="E56" s="206" t="s">
        <v>40</v>
      </c>
      <c r="F56" s="206"/>
      <c r="G56" s="206" t="s">
        <v>17</v>
      </c>
      <c r="H56" s="206"/>
    </row>
    <row r="57" spans="1:15" ht="80.099999999999994" customHeight="1">
      <c r="A57" s="237"/>
      <c r="B57" s="206"/>
      <c r="C57" s="206"/>
      <c r="D57" s="206"/>
      <c r="E57" s="206"/>
      <c r="F57" s="206"/>
      <c r="G57" s="206"/>
      <c r="H57" s="206"/>
    </row>
    <row r="58" spans="1:15" ht="80.099999999999994" customHeight="1">
      <c r="A58" s="238" t="s">
        <v>14</v>
      </c>
      <c r="B58" s="207" t="s">
        <v>15</v>
      </c>
      <c r="C58" s="207"/>
      <c r="D58" s="207"/>
      <c r="E58" s="207" t="s">
        <v>16</v>
      </c>
      <c r="F58" s="207"/>
      <c r="G58" s="207" t="s">
        <v>17</v>
      </c>
      <c r="H58" s="207"/>
    </row>
    <row r="59" spans="1:15" ht="80.099999999999994" customHeight="1">
      <c r="A59" s="238"/>
      <c r="B59" s="207"/>
      <c r="C59" s="207"/>
      <c r="D59" s="207"/>
      <c r="E59" s="207"/>
      <c r="F59" s="207"/>
      <c r="G59" s="207"/>
      <c r="H59" s="207"/>
    </row>
    <row r="60" spans="1:15" ht="80.099999999999994" customHeight="1">
      <c r="A60" s="239" t="s">
        <v>43</v>
      </c>
      <c r="B60" s="206" t="s">
        <v>44</v>
      </c>
      <c r="C60" s="206"/>
      <c r="D60" s="206"/>
      <c r="E60" s="206" t="s">
        <v>45</v>
      </c>
      <c r="F60" s="206"/>
      <c r="G60" s="206" t="s">
        <v>17</v>
      </c>
      <c r="H60" s="206"/>
    </row>
    <row r="61" spans="1:15" ht="80.099999999999994" customHeight="1">
      <c r="A61" s="239"/>
      <c r="B61" s="206"/>
      <c r="C61" s="206"/>
      <c r="D61" s="206"/>
      <c r="E61" s="206"/>
      <c r="F61" s="206"/>
      <c r="G61" s="206"/>
      <c r="H61" s="206"/>
    </row>
    <row r="62" spans="1:15" ht="80.099999999999994" customHeight="1">
      <c r="A62" s="240" t="s">
        <v>18</v>
      </c>
      <c r="B62" s="207" t="s">
        <v>19</v>
      </c>
      <c r="C62" s="207"/>
      <c r="D62" s="207"/>
      <c r="E62" s="207" t="s">
        <v>20</v>
      </c>
      <c r="F62" s="207"/>
      <c r="G62" s="207" t="s">
        <v>21</v>
      </c>
      <c r="H62" s="207"/>
    </row>
    <row r="63" spans="1:15" ht="80.099999999999994" customHeight="1">
      <c r="A63" s="240"/>
      <c r="B63" s="207"/>
      <c r="C63" s="207"/>
      <c r="D63" s="207"/>
      <c r="E63" s="207"/>
      <c r="F63" s="207"/>
      <c r="G63" s="207"/>
      <c r="H63" s="207"/>
    </row>
    <row r="64" spans="1:15" ht="80.099999999999994" customHeight="1">
      <c r="A64" s="246" t="s">
        <v>60</v>
      </c>
      <c r="B64" s="206" t="s">
        <v>61</v>
      </c>
      <c r="C64" s="206"/>
      <c r="D64" s="206"/>
      <c r="E64" s="207" t="s">
        <v>62</v>
      </c>
      <c r="F64" s="207"/>
      <c r="G64" s="207" t="s">
        <v>17</v>
      </c>
      <c r="H64" s="207"/>
    </row>
    <row r="65" spans="1:8" ht="80.099999999999994" customHeight="1">
      <c r="A65" s="246"/>
      <c r="B65" s="206"/>
      <c r="C65" s="206"/>
      <c r="D65" s="206"/>
      <c r="E65" s="207"/>
      <c r="F65" s="207"/>
      <c r="G65" s="207"/>
      <c r="H65" s="207"/>
    </row>
    <row r="66" spans="1:8" ht="80.099999999999994" customHeight="1">
      <c r="A66" s="235" t="s">
        <v>63</v>
      </c>
      <c r="B66" s="206" t="s">
        <v>64</v>
      </c>
      <c r="C66" s="206"/>
      <c r="D66" s="206"/>
      <c r="E66" s="207" t="s">
        <v>54</v>
      </c>
      <c r="F66" s="207"/>
      <c r="G66" s="207" t="s">
        <v>17</v>
      </c>
      <c r="H66" s="207"/>
    </row>
    <row r="67" spans="1:8" ht="80.099999999999994" customHeight="1">
      <c r="A67" s="235"/>
      <c r="B67" s="206"/>
      <c r="C67" s="206"/>
      <c r="D67" s="206"/>
      <c r="E67" s="207"/>
      <c r="F67" s="207"/>
      <c r="G67" s="207"/>
      <c r="H67" s="207"/>
    </row>
  </sheetData>
  <mergeCells count="38">
    <mergeCell ref="L2:M2"/>
    <mergeCell ref="N2:O2"/>
    <mergeCell ref="B53:D53"/>
    <mergeCell ref="E53:F53"/>
    <mergeCell ref="G53:H53"/>
    <mergeCell ref="B2:C2"/>
    <mergeCell ref="D2:E2"/>
    <mergeCell ref="F2:G2"/>
    <mergeCell ref="H2:I2"/>
    <mergeCell ref="J2:K2"/>
    <mergeCell ref="A54:A55"/>
    <mergeCell ref="A56:A57"/>
    <mergeCell ref="A58:A59"/>
    <mergeCell ref="A60:A61"/>
    <mergeCell ref="A62:A63"/>
    <mergeCell ref="A64:A65"/>
    <mergeCell ref="A66:A67"/>
    <mergeCell ref="B64:D65"/>
    <mergeCell ref="E64:F65"/>
    <mergeCell ref="G64:H65"/>
    <mergeCell ref="B66:D67"/>
    <mergeCell ref="E66:F67"/>
    <mergeCell ref="G66:H67"/>
    <mergeCell ref="E60:F61"/>
    <mergeCell ref="G60:H61"/>
    <mergeCell ref="E62:F63"/>
    <mergeCell ref="G62:H63"/>
    <mergeCell ref="E54:F55"/>
    <mergeCell ref="G54:H55"/>
    <mergeCell ref="E56:F57"/>
    <mergeCell ref="G56:H57"/>
    <mergeCell ref="E58:F59"/>
    <mergeCell ref="G58:H59"/>
    <mergeCell ref="B62:D63"/>
    <mergeCell ref="B60:D61"/>
    <mergeCell ref="B58:D59"/>
    <mergeCell ref="B56:D57"/>
    <mergeCell ref="B54:D55"/>
  </mergeCells>
  <pageMargins left="0.7" right="0.7" top="0.75" bottom="0.75" header="0.3" footer="0.3"/>
  <pageSetup paperSize="9" orientation="portrait"/>
  <ignoredErrors>
    <ignoredError sqref="K4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zoomScale="80" zoomScaleNormal="80" workbookViewId="0">
      <selection activeCell="I43" sqref="I43"/>
    </sheetView>
  </sheetViews>
  <sheetFormatPr baseColWidth="10" defaultColWidth="11" defaultRowHeight="13.5"/>
  <cols>
    <col min="1" max="1" width="25.5" customWidth="1"/>
    <col min="2" max="2" width="18.375" customWidth="1"/>
    <col min="3" max="3" width="18" customWidth="1"/>
    <col min="4" max="4" width="18.375" customWidth="1"/>
    <col min="5" max="5" width="14.125" customWidth="1"/>
    <col min="6" max="6" width="18.375" customWidth="1"/>
    <col min="7" max="7" width="14.125" customWidth="1"/>
    <col min="8" max="8" width="18.625" customWidth="1"/>
    <col min="9" max="11" width="17.375" customWidth="1"/>
  </cols>
  <sheetData>
    <row r="1" spans="1:11" ht="63.6" customHeight="1">
      <c r="A1" s="2" t="s">
        <v>69</v>
      </c>
    </row>
    <row r="2" spans="1:11" ht="16.5">
      <c r="A2" s="3"/>
      <c r="B2" s="228" t="s">
        <v>32</v>
      </c>
      <c r="C2" s="229"/>
      <c r="D2" s="230" t="s">
        <v>33</v>
      </c>
      <c r="E2" s="231"/>
      <c r="F2" s="180" t="s">
        <v>1</v>
      </c>
      <c r="G2" s="181"/>
      <c r="H2" s="182" t="s">
        <v>2</v>
      </c>
      <c r="I2" s="183"/>
      <c r="J2" s="247" t="s">
        <v>56</v>
      </c>
      <c r="K2" s="248"/>
    </row>
    <row r="3" spans="1:11">
      <c r="A3" s="4"/>
      <c r="B3" s="5" t="s">
        <v>6</v>
      </c>
      <c r="C3" s="6" t="s">
        <v>7</v>
      </c>
      <c r="D3" s="5" t="s">
        <v>6</v>
      </c>
      <c r="E3" s="6" t="s">
        <v>7</v>
      </c>
      <c r="F3" s="5" t="s">
        <v>6</v>
      </c>
      <c r="G3" s="6" t="s">
        <v>7</v>
      </c>
      <c r="H3" s="5" t="s">
        <v>6</v>
      </c>
      <c r="I3" s="6" t="s">
        <v>7</v>
      </c>
      <c r="J3" s="5"/>
      <c r="K3" s="6"/>
    </row>
    <row r="4" spans="1:11" ht="15">
      <c r="A4" s="7">
        <v>43466</v>
      </c>
      <c r="B4" s="102"/>
      <c r="C4" s="61"/>
      <c r="D4" s="102"/>
      <c r="E4" s="61"/>
      <c r="F4" s="102"/>
      <c r="G4" s="61"/>
      <c r="H4" s="102"/>
      <c r="I4" s="61"/>
      <c r="J4" s="102"/>
      <c r="K4" s="61"/>
    </row>
    <row r="5" spans="1:11">
      <c r="A5" s="29" t="s">
        <v>70</v>
      </c>
      <c r="B5" s="103"/>
      <c r="C5" s="19"/>
      <c r="D5" s="103"/>
      <c r="E5" s="19"/>
      <c r="F5" s="103"/>
      <c r="G5" s="19"/>
      <c r="H5" s="103"/>
      <c r="I5" s="19"/>
      <c r="J5" s="101">
        <f>SUM(K5/3.2)</f>
        <v>21035.992812499997</v>
      </c>
      <c r="K5" s="19">
        <v>67315.176999999996</v>
      </c>
    </row>
    <row r="6" spans="1:11" ht="15">
      <c r="A6" s="7">
        <v>43497</v>
      </c>
      <c r="B6" s="102"/>
      <c r="C6" s="61"/>
      <c r="D6" s="102"/>
      <c r="E6" s="61"/>
      <c r="F6" s="102"/>
      <c r="G6" s="61"/>
      <c r="H6" s="102"/>
      <c r="I6" s="61"/>
      <c r="J6" s="102"/>
      <c r="K6" s="61"/>
    </row>
    <row r="7" spans="1:11" ht="15">
      <c r="A7" s="7">
        <v>43525</v>
      </c>
      <c r="B7" s="102"/>
      <c r="C7" s="61"/>
      <c r="D7" s="102"/>
      <c r="E7" s="61"/>
      <c r="F7" s="102"/>
      <c r="G7" s="61"/>
      <c r="H7" s="102"/>
      <c r="I7" s="61"/>
      <c r="J7" s="102"/>
      <c r="K7" s="61"/>
    </row>
    <row r="8" spans="1:11">
      <c r="A8" s="29" t="s">
        <v>71</v>
      </c>
      <c r="B8" s="103"/>
      <c r="C8" s="19"/>
      <c r="D8" s="103"/>
      <c r="E8" s="19"/>
      <c r="F8" s="103"/>
      <c r="G8" s="19"/>
      <c r="H8" s="103"/>
      <c r="I8" s="19"/>
      <c r="J8" s="101">
        <f>SUM(K8/3.2)</f>
        <v>26443.492812499997</v>
      </c>
      <c r="K8" s="19">
        <v>84619.176999999996</v>
      </c>
    </row>
    <row r="9" spans="1:11">
      <c r="A9" s="13">
        <v>43546</v>
      </c>
      <c r="B9" s="103"/>
      <c r="C9" s="19"/>
      <c r="D9" s="103"/>
      <c r="E9" s="19"/>
      <c r="F9" s="103"/>
      <c r="G9" s="19"/>
      <c r="H9" s="103"/>
      <c r="I9" s="19"/>
      <c r="J9" s="101">
        <f>SUM(K9/3.2)</f>
        <v>31227.555312499997</v>
      </c>
      <c r="K9" s="19">
        <v>99928.176999999996</v>
      </c>
    </row>
    <row r="10" spans="1:11" ht="15">
      <c r="A10" s="7">
        <v>43556</v>
      </c>
      <c r="B10" s="102"/>
      <c r="C10" s="61"/>
      <c r="D10" s="102"/>
      <c r="E10" s="61"/>
      <c r="F10" s="102"/>
      <c r="G10" s="61"/>
      <c r="H10" s="102"/>
      <c r="I10" s="61"/>
      <c r="J10" s="102"/>
      <c r="K10" s="61"/>
    </row>
    <row r="11" spans="1:11" ht="15">
      <c r="A11" s="7">
        <v>43586</v>
      </c>
      <c r="B11" s="102"/>
      <c r="C11" s="61"/>
      <c r="D11" s="102"/>
      <c r="E11" s="61"/>
      <c r="F11" s="102"/>
      <c r="G11" s="61"/>
      <c r="H11" s="102"/>
      <c r="I11" s="61"/>
      <c r="J11" s="102"/>
      <c r="K11" s="61"/>
    </row>
    <row r="12" spans="1:11">
      <c r="A12" s="29" t="s">
        <v>72</v>
      </c>
      <c r="B12" s="103"/>
      <c r="C12" s="19"/>
      <c r="D12" s="103"/>
      <c r="E12" s="19"/>
      <c r="F12" s="103"/>
      <c r="G12" s="19"/>
      <c r="H12" s="103"/>
      <c r="I12" s="104"/>
      <c r="J12" s="101">
        <f>SUM(K12/3.2)</f>
        <v>30659.430312499997</v>
      </c>
      <c r="K12" s="104">
        <v>98110.176999999996</v>
      </c>
    </row>
    <row r="13" spans="1:11">
      <c r="A13" s="13">
        <v>43602</v>
      </c>
      <c r="B13" s="103"/>
      <c r="C13" s="19"/>
      <c r="D13" s="103"/>
      <c r="E13" s="19"/>
      <c r="F13" s="103"/>
      <c r="G13" s="19"/>
      <c r="H13" s="103"/>
      <c r="I13" s="104"/>
      <c r="J13" s="101">
        <f>SUM(K13/3.2)</f>
        <v>30775.680312499997</v>
      </c>
      <c r="K13" s="104">
        <v>98482.176999999996</v>
      </c>
    </row>
    <row r="14" spans="1:11" ht="15">
      <c r="A14" s="7">
        <v>43617</v>
      </c>
      <c r="B14" s="102"/>
      <c r="C14" s="61"/>
      <c r="D14" s="102"/>
      <c r="E14" s="61"/>
      <c r="F14" s="102"/>
      <c r="G14" s="61"/>
      <c r="H14" s="102"/>
      <c r="I14" s="61"/>
      <c r="J14" s="102"/>
      <c r="K14" s="61"/>
    </row>
    <row r="15" spans="1:11">
      <c r="A15" s="13">
        <v>43641</v>
      </c>
      <c r="B15" s="103"/>
      <c r="C15" s="19"/>
      <c r="D15" s="103"/>
      <c r="E15" s="19"/>
      <c r="F15" s="103"/>
      <c r="G15" s="19"/>
      <c r="H15" s="103"/>
      <c r="I15" s="19"/>
      <c r="J15" s="101">
        <f>SUM(K15/3.2)</f>
        <v>40676.011562499996</v>
      </c>
      <c r="K15" s="19">
        <v>130163.23699999999</v>
      </c>
    </row>
    <row r="16" spans="1:11" ht="15">
      <c r="A16" s="7">
        <v>43647</v>
      </c>
      <c r="B16" s="102"/>
      <c r="C16" s="61"/>
      <c r="D16" s="102"/>
      <c r="E16" s="61"/>
      <c r="F16" s="102"/>
      <c r="G16" s="61"/>
      <c r="H16" s="102"/>
      <c r="I16" s="61"/>
      <c r="J16" s="102"/>
      <c r="K16" s="61"/>
    </row>
    <row r="17" spans="1:11" s="1" customFormat="1">
      <c r="A17" s="13">
        <v>43662</v>
      </c>
      <c r="B17" s="101">
        <f>SUM(C17/3.2)</f>
        <v>5432.6334374999997</v>
      </c>
      <c r="C17" s="62">
        <v>17384.427</v>
      </c>
      <c r="D17" s="105"/>
      <c r="E17" s="62"/>
      <c r="F17" s="105"/>
      <c r="G17" s="62"/>
      <c r="H17" s="105"/>
      <c r="I17" s="62"/>
      <c r="J17" s="105"/>
      <c r="K17" s="62"/>
    </row>
    <row r="18" spans="1:11">
      <c r="A18" s="13">
        <v>43663</v>
      </c>
      <c r="B18" s="103"/>
      <c r="C18" s="19"/>
      <c r="D18" s="103"/>
      <c r="E18" s="19"/>
      <c r="F18" s="103"/>
      <c r="G18" s="19"/>
      <c r="H18" s="103"/>
      <c r="I18" s="19"/>
      <c r="J18" s="101">
        <f>SUM(K18/3.2)</f>
        <v>35708.886562499996</v>
      </c>
      <c r="K18" s="19">
        <v>114268.43700000001</v>
      </c>
    </row>
    <row r="19" spans="1:11" ht="15">
      <c r="A19" s="7">
        <v>43678</v>
      </c>
      <c r="B19" s="102"/>
      <c r="C19" s="61"/>
      <c r="D19" s="102"/>
      <c r="E19" s="61"/>
      <c r="F19" s="102"/>
      <c r="G19" s="61"/>
      <c r="H19" s="102"/>
      <c r="I19" s="61"/>
      <c r="J19" s="102"/>
      <c r="K19" s="61"/>
    </row>
    <row r="20" spans="1:11">
      <c r="A20" s="29" t="s">
        <v>73</v>
      </c>
      <c r="B20" s="103"/>
      <c r="C20" s="19"/>
      <c r="D20" s="103"/>
      <c r="E20" s="19"/>
      <c r="F20" s="101">
        <f>SUM(G20/3.2)</f>
        <v>2705.9740624999999</v>
      </c>
      <c r="G20" s="19">
        <v>8659.1170000000002</v>
      </c>
      <c r="H20" s="103"/>
      <c r="I20" s="19"/>
      <c r="J20" s="103"/>
      <c r="K20" s="19"/>
    </row>
    <row r="21" spans="1:11" ht="15">
      <c r="A21" s="7">
        <v>44805</v>
      </c>
      <c r="B21" s="102"/>
      <c r="C21" s="61"/>
      <c r="D21" s="102"/>
      <c r="E21" s="61"/>
      <c r="F21" s="102"/>
      <c r="G21" s="61"/>
      <c r="H21" s="102"/>
      <c r="I21" s="61"/>
      <c r="J21" s="102"/>
      <c r="K21" s="61"/>
    </row>
    <row r="22" spans="1:11">
      <c r="A22" s="13">
        <v>43714</v>
      </c>
      <c r="B22" s="105"/>
      <c r="C22" s="62"/>
      <c r="D22" s="105"/>
      <c r="E22" s="62"/>
      <c r="F22" s="105"/>
      <c r="G22" s="62"/>
      <c r="H22" s="105"/>
      <c r="I22" s="62"/>
      <c r="J22" s="101">
        <f>SUM(K22/3.2)</f>
        <v>9692.174687499999</v>
      </c>
      <c r="K22" s="62">
        <v>31014.958999999999</v>
      </c>
    </row>
    <row r="23" spans="1:11" hidden="1">
      <c r="A23" s="13"/>
      <c r="B23" s="103"/>
      <c r="C23" s="19"/>
      <c r="D23" s="103"/>
      <c r="E23" s="19"/>
      <c r="F23" s="103"/>
      <c r="G23" s="19"/>
      <c r="H23" s="103"/>
      <c r="I23" s="19"/>
      <c r="J23" s="101">
        <f t="shared" ref="J23:J24" si="0">SUM(K23/3.2)</f>
        <v>0</v>
      </c>
      <c r="K23" s="19"/>
    </row>
    <row r="24" spans="1:11">
      <c r="A24" s="13">
        <v>43727</v>
      </c>
      <c r="B24" s="103"/>
      <c r="C24" s="19"/>
      <c r="D24" s="103"/>
      <c r="E24" s="19"/>
      <c r="F24" s="103"/>
      <c r="G24" s="19"/>
      <c r="H24" s="103"/>
      <c r="I24" s="19"/>
      <c r="J24" s="101">
        <f t="shared" si="0"/>
        <v>28993.492812499997</v>
      </c>
      <c r="K24" s="19">
        <v>92779.176999999996</v>
      </c>
    </row>
    <row r="25" spans="1:11" ht="15">
      <c r="A25" s="7">
        <v>43739</v>
      </c>
      <c r="B25" s="102"/>
      <c r="C25" s="61"/>
      <c r="D25" s="102"/>
      <c r="E25" s="61"/>
      <c r="F25" s="102"/>
      <c r="G25" s="61"/>
      <c r="H25" s="102"/>
      <c r="I25" s="61"/>
      <c r="J25" s="102"/>
      <c r="K25" s="61"/>
    </row>
    <row r="26" spans="1:11">
      <c r="A26" s="13">
        <v>43749</v>
      </c>
      <c r="B26" s="103"/>
      <c r="C26" s="19"/>
      <c r="D26" s="103"/>
      <c r="E26" s="19"/>
      <c r="F26" s="103"/>
      <c r="G26" s="19"/>
      <c r="H26" s="103"/>
      <c r="I26" s="14"/>
      <c r="J26" s="106">
        <f>SUM(K26/3.2)</f>
        <v>23834.899062499997</v>
      </c>
      <c r="K26" s="14">
        <v>76271.676999999996</v>
      </c>
    </row>
    <row r="27" spans="1:11" ht="15">
      <c r="A27" s="7">
        <v>43770</v>
      </c>
      <c r="B27" s="102"/>
      <c r="C27" s="61"/>
      <c r="D27" s="102"/>
      <c r="E27" s="61"/>
      <c r="F27" s="102"/>
      <c r="G27" s="61"/>
      <c r="H27" s="102"/>
      <c r="I27" s="61"/>
      <c r="J27" s="102"/>
      <c r="K27" s="61"/>
    </row>
    <row r="28" spans="1:11" s="1" customFormat="1">
      <c r="A28" s="13">
        <v>43781</v>
      </c>
      <c r="B28" s="105"/>
      <c r="C28" s="62"/>
      <c r="D28" s="105"/>
      <c r="E28" s="62"/>
      <c r="F28" s="105"/>
      <c r="G28" s="62"/>
      <c r="H28" s="105"/>
      <c r="I28" s="62"/>
      <c r="J28" s="101">
        <f>SUM(K28/3.2)</f>
        <v>19148.180312500001</v>
      </c>
      <c r="K28" s="62">
        <v>61274.177000000003</v>
      </c>
    </row>
    <row r="29" spans="1:11">
      <c r="A29" s="13">
        <v>43788</v>
      </c>
      <c r="B29" s="103"/>
      <c r="C29" s="19"/>
      <c r="D29" s="103"/>
      <c r="E29" s="19"/>
      <c r="F29" s="103"/>
      <c r="G29" s="19"/>
      <c r="H29" s="103"/>
      <c r="I29" s="19">
        <f>SUM(1250*6+2800+3000+4017+1627.525+1040+150)</f>
        <v>20134.525000000001</v>
      </c>
      <c r="J29" s="103"/>
      <c r="K29" s="19"/>
    </row>
    <row r="30" spans="1:11" ht="15">
      <c r="A30" s="7">
        <v>43800</v>
      </c>
      <c r="B30" s="102"/>
      <c r="C30" s="61"/>
      <c r="D30" s="102"/>
      <c r="E30" s="61"/>
      <c r="F30" s="102"/>
      <c r="G30" s="61"/>
      <c r="H30" s="102"/>
      <c r="I30" s="61"/>
      <c r="J30" s="102"/>
      <c r="K30" s="61"/>
    </row>
    <row r="31" spans="1:11" s="1" customFormat="1">
      <c r="A31" s="13">
        <v>43803</v>
      </c>
      <c r="B31" s="105">
        <v>2000</v>
      </c>
      <c r="C31" s="62">
        <v>6085.3770000000004</v>
      </c>
      <c r="D31" s="105"/>
      <c r="E31" s="62"/>
      <c r="F31" s="105"/>
      <c r="G31" s="62"/>
      <c r="H31" s="105"/>
      <c r="I31" s="62"/>
      <c r="J31" s="105"/>
      <c r="K31" s="62"/>
    </row>
    <row r="32" spans="1:11">
      <c r="A32" s="13">
        <v>43808</v>
      </c>
      <c r="B32" s="103"/>
      <c r="C32" s="19"/>
      <c r="D32" s="103"/>
      <c r="E32" s="19"/>
      <c r="F32" s="103"/>
      <c r="G32" s="19"/>
      <c r="H32" s="103"/>
      <c r="I32" s="19">
        <f>SUM(937.5+12482.08+12480+12480+12464.163+12178.174+12508.8)</f>
        <v>75530.717000000004</v>
      </c>
      <c r="J32" s="103"/>
      <c r="K32" s="19"/>
    </row>
    <row r="33" spans="1:11">
      <c r="A33" s="13">
        <v>43812</v>
      </c>
      <c r="B33" s="103"/>
      <c r="C33" s="19"/>
      <c r="D33" s="103"/>
      <c r="E33" s="19"/>
      <c r="F33" s="103"/>
      <c r="G33" s="19"/>
      <c r="H33" s="103"/>
      <c r="I33" s="19">
        <v>1250</v>
      </c>
      <c r="J33" s="103"/>
      <c r="K33" s="19"/>
    </row>
    <row r="34" spans="1:11">
      <c r="A34" s="13">
        <v>43822</v>
      </c>
      <c r="B34" s="103"/>
      <c r="C34" s="19"/>
      <c r="D34" s="103"/>
      <c r="E34" s="19"/>
      <c r="F34" s="103"/>
      <c r="G34" s="19"/>
      <c r="H34" s="103"/>
      <c r="I34" s="19">
        <v>414.42899999999997</v>
      </c>
      <c r="J34" s="103"/>
      <c r="K34" s="19"/>
    </row>
    <row r="35" spans="1:11">
      <c r="A35" s="13">
        <v>43825</v>
      </c>
      <c r="B35" s="101">
        <f>SUM(C35/3.2)</f>
        <v>938.3990624999999</v>
      </c>
      <c r="C35" s="19">
        <v>3002.877</v>
      </c>
      <c r="D35" s="103"/>
      <c r="E35" s="19"/>
      <c r="F35" s="103"/>
      <c r="G35" s="19"/>
      <c r="H35" s="103"/>
      <c r="I35" s="19"/>
      <c r="J35" s="103"/>
      <c r="K35" s="19"/>
    </row>
    <row r="36" spans="1:11" ht="15">
      <c r="A36" s="20" t="s">
        <v>8</v>
      </c>
      <c r="B36" s="21">
        <f>SUM(B4:B33)</f>
        <v>7432.6334374999997</v>
      </c>
      <c r="C36" s="22">
        <f>SUM(C5:C35)</f>
        <v>26472.681</v>
      </c>
      <c r="D36" s="21">
        <f>SUM(D4:D33)</f>
        <v>0</v>
      </c>
      <c r="E36" s="22">
        <f>SUM(E4:E33)</f>
        <v>0</v>
      </c>
      <c r="F36" s="21">
        <f>SUM(F4:F33)</f>
        <v>2705.9740624999999</v>
      </c>
      <c r="G36" s="22">
        <f>SUM(G4:G33)</f>
        <v>8659.1170000000002</v>
      </c>
      <c r="H36" s="21">
        <f>SUM(H4:H33)</f>
        <v>0</v>
      </c>
      <c r="I36" s="22">
        <f>SUM(I5:I34)</f>
        <v>97329.671000000002</v>
      </c>
      <c r="J36" s="21">
        <f>SUM(J4:J33)</f>
        <v>298195.79656249995</v>
      </c>
      <c r="K36" s="22">
        <f>SUM(K4:K33)</f>
        <v>954226.54900000012</v>
      </c>
    </row>
    <row r="37" spans="1:11" s="1" customFormat="1" ht="15">
      <c r="A37" s="23"/>
      <c r="B37" s="30"/>
      <c r="C37" s="30"/>
      <c r="D37" s="31"/>
      <c r="E37" s="24"/>
      <c r="F37" s="31"/>
      <c r="G37" s="24"/>
      <c r="H37" s="24"/>
      <c r="I37" s="24"/>
      <c r="J37" s="24"/>
      <c r="K37" s="24"/>
    </row>
    <row r="38" spans="1:11" ht="15">
      <c r="A38" s="25" t="s">
        <v>9</v>
      </c>
      <c r="B38" s="32">
        <f>B36+D36+F36+H36+J36</f>
        <v>308334.40406249993</v>
      </c>
      <c r="C38" s="32">
        <f>C36+E36+G36+I36+K36</f>
        <v>1086688.0180000002</v>
      </c>
      <c r="D38" s="33"/>
      <c r="E38" s="34"/>
      <c r="F38" s="33"/>
      <c r="G38" s="34"/>
      <c r="H38" s="35"/>
      <c r="I38" s="35"/>
      <c r="J38" s="35"/>
      <c r="K38" s="35"/>
    </row>
    <row r="39" spans="1:11">
      <c r="D39" s="1"/>
      <c r="E39" s="1"/>
      <c r="F39" s="1"/>
      <c r="G39" s="1"/>
    </row>
    <row r="41" spans="1:11" ht="15">
      <c r="A41" s="28" t="s">
        <v>10</v>
      </c>
      <c r="B41" s="245" t="s">
        <v>11</v>
      </c>
      <c r="C41" s="245"/>
      <c r="D41" s="245"/>
      <c r="E41" s="245" t="s">
        <v>36</v>
      </c>
      <c r="F41" s="245"/>
      <c r="G41" s="245" t="s">
        <v>37</v>
      </c>
      <c r="H41" s="245"/>
    </row>
    <row r="42" spans="1:11" ht="80.099999999999994" customHeight="1">
      <c r="A42" s="236" t="s">
        <v>38</v>
      </c>
      <c r="B42" s="206" t="s">
        <v>39</v>
      </c>
      <c r="C42" s="206"/>
      <c r="D42" s="206"/>
      <c r="E42" s="206" t="s">
        <v>40</v>
      </c>
      <c r="F42" s="206"/>
      <c r="G42" s="206" t="s">
        <v>17</v>
      </c>
      <c r="H42" s="206"/>
    </row>
    <row r="43" spans="1:11" ht="80.099999999999994" customHeight="1">
      <c r="A43" s="236"/>
      <c r="B43" s="206"/>
      <c r="C43" s="206"/>
      <c r="D43" s="206"/>
      <c r="E43" s="206"/>
      <c r="F43" s="206"/>
      <c r="G43" s="206"/>
      <c r="H43" s="206"/>
    </row>
    <row r="44" spans="1:11" ht="80.099999999999994" customHeight="1">
      <c r="A44" s="237" t="s">
        <v>41</v>
      </c>
      <c r="B44" s="206" t="s">
        <v>42</v>
      </c>
      <c r="C44" s="206"/>
      <c r="D44" s="206"/>
      <c r="E44" s="206" t="s">
        <v>40</v>
      </c>
      <c r="F44" s="206"/>
      <c r="G44" s="206" t="s">
        <v>17</v>
      </c>
      <c r="H44" s="206"/>
    </row>
    <row r="45" spans="1:11" ht="80.099999999999994" customHeight="1">
      <c r="A45" s="237"/>
      <c r="B45" s="206"/>
      <c r="C45" s="206"/>
      <c r="D45" s="206"/>
      <c r="E45" s="206"/>
      <c r="F45" s="206"/>
      <c r="G45" s="206"/>
      <c r="H45" s="206"/>
    </row>
    <row r="46" spans="1:11" ht="80.099999999999994" customHeight="1">
      <c r="A46" s="238" t="s">
        <v>14</v>
      </c>
      <c r="B46" s="207" t="s">
        <v>15</v>
      </c>
      <c r="C46" s="207"/>
      <c r="D46" s="207"/>
      <c r="E46" s="207" t="s">
        <v>16</v>
      </c>
      <c r="F46" s="207"/>
      <c r="G46" s="207" t="s">
        <v>17</v>
      </c>
      <c r="H46" s="207"/>
    </row>
    <row r="47" spans="1:11" ht="80.099999999999994" customHeight="1">
      <c r="A47" s="238"/>
      <c r="B47" s="207"/>
      <c r="C47" s="207"/>
      <c r="D47" s="207"/>
      <c r="E47" s="207"/>
      <c r="F47" s="207"/>
      <c r="G47" s="207"/>
      <c r="H47" s="207"/>
    </row>
    <row r="48" spans="1:11" ht="80.099999999999994" customHeight="1">
      <c r="A48" s="240" t="s">
        <v>18</v>
      </c>
      <c r="B48" s="207" t="s">
        <v>19</v>
      </c>
      <c r="C48" s="207"/>
      <c r="D48" s="207"/>
      <c r="E48" s="207" t="s">
        <v>20</v>
      </c>
      <c r="F48" s="207"/>
      <c r="G48" s="207" t="s">
        <v>21</v>
      </c>
      <c r="H48" s="207"/>
    </row>
    <row r="49" spans="1:8" ht="80.099999999999994" customHeight="1">
      <c r="A49" s="240"/>
      <c r="B49" s="207"/>
      <c r="C49" s="207"/>
      <c r="D49" s="207"/>
      <c r="E49" s="207"/>
      <c r="F49" s="207"/>
      <c r="G49" s="207"/>
      <c r="H49" s="207"/>
    </row>
    <row r="50" spans="1:8" ht="80.099999999999994" customHeight="1">
      <c r="A50" s="246" t="s">
        <v>60</v>
      </c>
      <c r="B50" s="207" t="s">
        <v>61</v>
      </c>
      <c r="C50" s="207"/>
      <c r="D50" s="207"/>
      <c r="E50" s="207" t="s">
        <v>62</v>
      </c>
      <c r="F50" s="207"/>
      <c r="G50" s="207" t="s">
        <v>17</v>
      </c>
      <c r="H50" s="207"/>
    </row>
    <row r="51" spans="1:8" ht="80.099999999999994" customHeight="1">
      <c r="A51" s="246"/>
      <c r="B51" s="207"/>
      <c r="C51" s="207"/>
      <c r="D51" s="207"/>
      <c r="E51" s="207"/>
      <c r="F51" s="207"/>
      <c r="G51" s="207"/>
      <c r="H51" s="207"/>
    </row>
  </sheetData>
  <mergeCells count="28">
    <mergeCell ref="B2:C2"/>
    <mergeCell ref="D2:E2"/>
    <mergeCell ref="F2:G2"/>
    <mergeCell ref="H2:I2"/>
    <mergeCell ref="J2:K2"/>
    <mergeCell ref="B41:D41"/>
    <mergeCell ref="E41:F41"/>
    <mergeCell ref="G41:H41"/>
    <mergeCell ref="A42:A43"/>
    <mergeCell ref="A44:A45"/>
    <mergeCell ref="A46:A47"/>
    <mergeCell ref="A48:A49"/>
    <mergeCell ref="A50:A51"/>
    <mergeCell ref="B50:D51"/>
    <mergeCell ref="E50:F51"/>
    <mergeCell ref="G50:H51"/>
    <mergeCell ref="B42:D43"/>
    <mergeCell ref="E42:F43"/>
    <mergeCell ref="G42:H43"/>
    <mergeCell ref="B46:D47"/>
    <mergeCell ref="E46:F47"/>
    <mergeCell ref="G46:H47"/>
    <mergeCell ref="B48:D49"/>
    <mergeCell ref="E48:F49"/>
    <mergeCell ref="G48:H49"/>
    <mergeCell ref="B44:D45"/>
    <mergeCell ref="E44:F45"/>
    <mergeCell ref="G44:H45"/>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zoomScale="80" zoomScaleNormal="80" workbookViewId="0">
      <selection activeCell="F44" sqref="F44"/>
    </sheetView>
  </sheetViews>
  <sheetFormatPr baseColWidth="10" defaultColWidth="11" defaultRowHeight="13.5"/>
  <cols>
    <col min="1" max="1" width="25.5" customWidth="1"/>
    <col min="2" max="2" width="17.375" customWidth="1"/>
    <col min="3" max="3" width="18.375" customWidth="1"/>
  </cols>
  <sheetData>
    <row r="1" spans="1:3" ht="63.6" customHeight="1">
      <c r="A1" s="2" t="s">
        <v>74</v>
      </c>
    </row>
    <row r="2" spans="1:3" ht="16.5">
      <c r="A2" s="3"/>
      <c r="B2" s="247" t="s">
        <v>56</v>
      </c>
      <c r="C2" s="248"/>
    </row>
    <row r="3" spans="1:3">
      <c r="A3" s="4"/>
      <c r="B3" s="5"/>
      <c r="C3" s="6"/>
    </row>
    <row r="4" spans="1:3" ht="15">
      <c r="A4" s="7">
        <v>43101</v>
      </c>
      <c r="B4" s="8"/>
      <c r="C4" s="9"/>
    </row>
    <row r="5" spans="1:3" ht="15">
      <c r="A5" s="10"/>
      <c r="B5" s="11"/>
      <c r="C5" s="12"/>
    </row>
    <row r="6" spans="1:3">
      <c r="A6" s="13"/>
      <c r="B6" s="5"/>
      <c r="C6" s="6"/>
    </row>
    <row r="7" spans="1:3" ht="15">
      <c r="A7" s="7">
        <v>43132</v>
      </c>
      <c r="B7" s="8"/>
      <c r="C7" s="9"/>
    </row>
    <row r="8" spans="1:3">
      <c r="A8" s="13"/>
      <c r="B8" s="11"/>
      <c r="C8" s="14"/>
    </row>
    <row r="9" spans="1:3">
      <c r="A9" s="13"/>
      <c r="B9" s="11"/>
      <c r="C9" s="12"/>
    </row>
    <row r="10" spans="1:3" ht="15">
      <c r="A10" s="7">
        <v>43160</v>
      </c>
      <c r="B10" s="8"/>
      <c r="C10" s="9"/>
    </row>
    <row r="11" spans="1:3">
      <c r="A11" s="13"/>
      <c r="B11" s="11"/>
      <c r="C11" s="12"/>
    </row>
    <row r="12" spans="1:3">
      <c r="A12" s="13"/>
      <c r="B12" s="11"/>
      <c r="C12" s="12"/>
    </row>
    <row r="13" spans="1:3">
      <c r="A13" s="13"/>
      <c r="B13" s="5"/>
      <c r="C13" s="6"/>
    </row>
    <row r="14" spans="1:3" ht="15">
      <c r="A14" s="7">
        <v>43191</v>
      </c>
      <c r="B14" s="8"/>
      <c r="C14" s="9"/>
    </row>
    <row r="15" spans="1:3" ht="15">
      <c r="A15" s="10"/>
      <c r="B15" s="11"/>
      <c r="C15" s="12"/>
    </row>
    <row r="16" spans="1:3" ht="15">
      <c r="A16" s="7">
        <v>43221</v>
      </c>
      <c r="B16" s="8"/>
      <c r="C16" s="9"/>
    </row>
    <row r="17" spans="1:3">
      <c r="A17" s="13"/>
      <c r="B17" s="11"/>
      <c r="C17" s="15"/>
    </row>
    <row r="18" spans="1:3">
      <c r="A18" s="13"/>
      <c r="B18" s="11"/>
      <c r="C18" s="15"/>
    </row>
    <row r="19" spans="1:3">
      <c r="A19" s="13"/>
      <c r="B19" s="5"/>
      <c r="C19" s="16"/>
    </row>
    <row r="20" spans="1:3">
      <c r="A20" s="13"/>
      <c r="B20" s="5"/>
      <c r="C20" s="15"/>
    </row>
    <row r="21" spans="1:3">
      <c r="A21" s="13"/>
      <c r="B21" s="11"/>
      <c r="C21" s="15"/>
    </row>
    <row r="22" spans="1:3" ht="15">
      <c r="A22" s="7">
        <v>43252</v>
      </c>
      <c r="B22" s="8"/>
      <c r="C22" s="9"/>
    </row>
    <row r="23" spans="1:3" ht="15">
      <c r="A23" s="10"/>
      <c r="B23" s="11"/>
      <c r="C23" s="12"/>
    </row>
    <row r="24" spans="1:3" ht="15">
      <c r="A24" s="7">
        <v>43282</v>
      </c>
      <c r="B24" s="8"/>
      <c r="C24" s="9"/>
    </row>
    <row r="25" spans="1:3">
      <c r="A25" s="13"/>
      <c r="B25" s="11"/>
      <c r="C25" s="12"/>
    </row>
    <row r="26" spans="1:3">
      <c r="A26" s="13"/>
      <c r="B26" s="11"/>
      <c r="C26" s="12"/>
    </row>
    <row r="27" spans="1:3" ht="15">
      <c r="A27" s="7">
        <v>43313</v>
      </c>
      <c r="B27" s="8"/>
      <c r="C27" s="9"/>
    </row>
    <row r="28" spans="1:3">
      <c r="A28" s="13"/>
      <c r="B28" s="11"/>
      <c r="C28" s="12"/>
    </row>
    <row r="29" spans="1:3">
      <c r="A29" s="13"/>
      <c r="B29" s="11"/>
      <c r="C29" s="12"/>
    </row>
    <row r="30" spans="1:3">
      <c r="A30" s="13"/>
      <c r="B30" s="11"/>
      <c r="C30" s="12"/>
    </row>
    <row r="31" spans="1:3" ht="15">
      <c r="A31" s="7">
        <v>43344</v>
      </c>
      <c r="B31" s="8"/>
      <c r="C31" s="9"/>
    </row>
    <row r="32" spans="1:3">
      <c r="A32" s="13"/>
      <c r="B32" s="17"/>
      <c r="C32" s="18"/>
    </row>
    <row r="33" spans="1:8" hidden="1">
      <c r="A33" s="13"/>
      <c r="B33" s="11"/>
      <c r="C33" s="12"/>
    </row>
    <row r="34" spans="1:8" ht="15">
      <c r="A34" s="7">
        <v>43374</v>
      </c>
      <c r="B34" s="8"/>
      <c r="C34" s="9"/>
    </row>
    <row r="35" spans="1:8">
      <c r="A35" s="13"/>
      <c r="B35" s="11"/>
      <c r="C35" s="14"/>
    </row>
    <row r="36" spans="1:8">
      <c r="A36" s="13"/>
      <c r="B36" s="11"/>
      <c r="C36" s="12"/>
    </row>
    <row r="37" spans="1:8">
      <c r="A37" s="13"/>
      <c r="B37" s="11"/>
      <c r="C37" s="12"/>
    </row>
    <row r="38" spans="1:8">
      <c r="A38" s="13"/>
      <c r="B38" s="11"/>
      <c r="C38" s="12"/>
    </row>
    <row r="39" spans="1:8" ht="15">
      <c r="A39" s="7">
        <v>43405</v>
      </c>
      <c r="B39" s="8"/>
      <c r="C39" s="9"/>
    </row>
    <row r="40" spans="1:8">
      <c r="A40" s="13"/>
      <c r="B40" s="11"/>
      <c r="C40" s="19"/>
    </row>
    <row r="41" spans="1:8" ht="15">
      <c r="A41" s="7">
        <v>43435</v>
      </c>
      <c r="B41" s="8"/>
      <c r="C41" s="9"/>
    </row>
    <row r="42" spans="1:8">
      <c r="A42" s="13">
        <v>44535</v>
      </c>
      <c r="B42" s="101">
        <f>SUM(C42/3.2)</f>
        <v>10114.586562499999</v>
      </c>
      <c r="C42" s="19">
        <v>32366.677</v>
      </c>
    </row>
    <row r="43" spans="1:8" ht="15">
      <c r="A43" s="20" t="s">
        <v>8</v>
      </c>
      <c r="B43" s="21">
        <f>SUM(B4:B42)</f>
        <v>10114.586562499999</v>
      </c>
      <c r="C43" s="22">
        <f>SUM(C4:C42)</f>
        <v>32366.677</v>
      </c>
    </row>
    <row r="44" spans="1:8" s="1" customFormat="1" ht="15">
      <c r="A44" s="23"/>
      <c r="B44" s="24"/>
      <c r="C44" s="24"/>
    </row>
    <row r="45" spans="1:8" ht="15">
      <c r="A45" s="25" t="s">
        <v>9</v>
      </c>
      <c r="B45" s="26">
        <f>B43</f>
        <v>10114.586562499999</v>
      </c>
      <c r="C45" s="27">
        <f>C43</f>
        <v>32366.677</v>
      </c>
    </row>
    <row r="47" spans="1:8" ht="15">
      <c r="A47" s="28" t="s">
        <v>10</v>
      </c>
      <c r="B47" s="245" t="s">
        <v>11</v>
      </c>
      <c r="C47" s="245"/>
      <c r="D47" s="245"/>
      <c r="E47" s="245" t="s">
        <v>36</v>
      </c>
      <c r="F47" s="245"/>
      <c r="G47" s="245" t="s">
        <v>37</v>
      </c>
      <c r="H47" s="245"/>
    </row>
    <row r="48" spans="1:8" ht="80.099999999999994" customHeight="1">
      <c r="A48" s="246" t="s">
        <v>60</v>
      </c>
      <c r="B48" s="207" t="s">
        <v>61</v>
      </c>
      <c r="C48" s="207"/>
      <c r="D48" s="207"/>
      <c r="E48" s="207" t="s">
        <v>62</v>
      </c>
      <c r="F48" s="207"/>
      <c r="G48" s="207" t="s">
        <v>17</v>
      </c>
      <c r="H48" s="207"/>
    </row>
    <row r="49" spans="1:8">
      <c r="A49" s="246"/>
      <c r="B49" s="207"/>
      <c r="C49" s="207"/>
      <c r="D49" s="207"/>
      <c r="E49" s="207"/>
      <c r="F49" s="207"/>
      <c r="G49" s="207"/>
      <c r="H49" s="207"/>
    </row>
  </sheetData>
  <mergeCells count="8">
    <mergeCell ref="B2:C2"/>
    <mergeCell ref="B47:D47"/>
    <mergeCell ref="E47:F47"/>
    <mergeCell ref="G47:H47"/>
    <mergeCell ref="A48:A49"/>
    <mergeCell ref="B48:D49"/>
    <mergeCell ref="E48:F49"/>
    <mergeCell ref="G48:H49"/>
  </mergeCells>
  <pageMargins left="0.7" right="0.7" top="0.75" bottom="0.75" header="0.3" footer="0.3"/>
  <pageSetup paperSize="9" orientation="portrait" verticalDpi="36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Total </vt:lpstr>
      <vt:lpstr>2025</vt:lpstr>
      <vt:lpstr>2024</vt:lpstr>
      <vt:lpstr>2023</vt:lpstr>
      <vt:lpstr>2022</vt:lpstr>
      <vt:lpstr>2021</vt:lpstr>
      <vt:lpstr>2020</vt:lpstr>
      <vt:lpstr>2019</vt:lpstr>
      <vt:lpstr>2018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viera schioppetto</dc:creator>
  <cp:lastModifiedBy>Utilisateur Windows</cp:lastModifiedBy>
  <dcterms:created xsi:type="dcterms:W3CDTF">2024-12-11T13:21:00Z</dcterms:created>
  <dcterms:modified xsi:type="dcterms:W3CDTF">2025-06-11T11:02:42Z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6ED69444C0364425B19579F4A080C6DE_13</vt:lpwstr>
  </property>
  <property fmtid="{D5CDD505-2E9C-101B-9397-08002B2CF9AE}" pid="3" name="KSOProductBuildVer">
    <vt:lpwstr>1036-12.2.0.19805</vt:lpwstr>
  </property>
</Properties>
</file>